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2" windowWidth="16500" windowHeight="8988" tabRatio="654" activeTab="2"/>
  </bookViews>
  <sheets>
    <sheet name="Aufsichten" sheetId="1" r:id="rId1"/>
    <sheet name="U14" sheetId="2" r:id="rId2"/>
    <sheet name="U18" sheetId="3" r:id="rId3"/>
    <sheet name="U23m" sheetId="4" r:id="rId4"/>
    <sheet name="MÄ" sheetId="5" r:id="rId5"/>
    <sheet name="Sen A" sheetId="6" r:id="rId6"/>
    <sheet name="Sen B" sheetId="7" r:id="rId7"/>
    <sheet name="U23w" sheetId="8" r:id="rId8"/>
    <sheet name="FR" sheetId="9" r:id="rId9"/>
    <sheet name="DA A" sheetId="10" r:id="rId10"/>
    <sheet name="DA B" sheetId="11" r:id="rId11"/>
    <sheet name="Startreihenfolge" sheetId="12" r:id="rId12"/>
  </sheets>
  <externalReferences>
    <externalReference r:id="rId15"/>
  </externalReferences>
  <definedNames>
    <definedName name="_xlnm.Print_Area" localSheetId="9">'DA A'!$A$1:$K$37</definedName>
    <definedName name="_xlnm.Print_Area" localSheetId="10">'DA B'!$A$1:$K$28</definedName>
    <definedName name="_xlnm.Print_Area" localSheetId="8">'FR'!$A$1:$K$36</definedName>
    <definedName name="_xlnm.Print_Area" localSheetId="4">'MÄ'!$A$1:$K$42</definedName>
    <definedName name="_xlnm.Print_Area" localSheetId="5">'Sen A'!$A$1:$K$39</definedName>
    <definedName name="_xlnm.Print_Area" localSheetId="6">'Sen B'!$A$1:$K$34</definedName>
    <definedName name="_xlnm.Print_Area" localSheetId="1">'U14'!$A$1:$J$26</definedName>
    <definedName name="_xlnm.Print_Area" localSheetId="2">'U18'!$A$1:$J$26</definedName>
    <definedName name="_xlnm.Print_Area" localSheetId="3">'U23m'!$A$1:$K$26</definedName>
    <definedName name="_xlnm.Print_Area" localSheetId="7">'U23w'!$A$1:$K$22</definedName>
  </definedNames>
  <calcPr fullCalcOnLoad="1"/>
</workbook>
</file>

<file path=xl/sharedStrings.xml><?xml version="1.0" encoding="utf-8"?>
<sst xmlns="http://schemas.openxmlformats.org/spreadsheetml/2006/main" count="761" uniqueCount="445">
  <si>
    <t>Verein/</t>
  </si>
  <si>
    <t>Platz</t>
  </si>
  <si>
    <t>Zeit</t>
  </si>
  <si>
    <t>Name, Vorname</t>
  </si>
  <si>
    <t>JG</t>
  </si>
  <si>
    <t>Einzelklub</t>
  </si>
  <si>
    <t>Vorlauf</t>
  </si>
  <si>
    <t>Endlauf</t>
  </si>
  <si>
    <t>Gesamt</t>
  </si>
  <si>
    <t>ABR</t>
  </si>
  <si>
    <t>F</t>
  </si>
  <si>
    <t>VORLAUF</t>
  </si>
  <si>
    <t>ENDLAUF</t>
  </si>
  <si>
    <t>Volle</t>
  </si>
  <si>
    <t>Abr</t>
  </si>
  <si>
    <t>Ges</t>
  </si>
  <si>
    <t>CR H'aurach</t>
  </si>
  <si>
    <t>SC H'aurach</t>
  </si>
  <si>
    <t>GH H'aurach</t>
  </si>
  <si>
    <t>SC Adelsdorf</t>
  </si>
  <si>
    <t>Tuspo Heroldsberg</t>
  </si>
  <si>
    <t>SKK Heroldsberg</t>
  </si>
  <si>
    <t>KC Hannberg</t>
  </si>
  <si>
    <t>GH Höchstadt</t>
  </si>
  <si>
    <t>TSV Neuhaus</t>
  </si>
  <si>
    <t xml:space="preserve">KV Erlangen </t>
  </si>
  <si>
    <t xml:space="preserve">KV Röttenbach </t>
  </si>
  <si>
    <t>KV Forchheim</t>
  </si>
  <si>
    <t xml:space="preserve">TSV Hemhofen </t>
  </si>
  <si>
    <t>FC Stöckach</t>
  </si>
  <si>
    <t>Höchstadt 1</t>
  </si>
  <si>
    <t>Neuhaus 1</t>
  </si>
  <si>
    <t>Röttenbach 2</t>
  </si>
  <si>
    <t>Röttenbach 1</t>
  </si>
  <si>
    <t>Erlangen 3</t>
  </si>
  <si>
    <t>Erlangen 2</t>
  </si>
  <si>
    <t>Erlangen 1</t>
  </si>
  <si>
    <t>Hemhofen 2</t>
  </si>
  <si>
    <t>Hemhofen 1</t>
  </si>
  <si>
    <t>Röttenbach</t>
  </si>
  <si>
    <t>Hemhofen</t>
  </si>
  <si>
    <t>Adelsdorf 2</t>
  </si>
  <si>
    <t>Adelsdorf 1</t>
  </si>
  <si>
    <t>Adelsdorf</t>
  </si>
  <si>
    <t>1. Eingabe von Ergebnissen</t>
  </si>
  <si>
    <t>2. Automatisches Rechnen / Formeln</t>
  </si>
  <si>
    <t>nach Eingabe der Ergebnisse !</t>
  </si>
  <si>
    <r>
      <t xml:space="preserve">In der oberen Menüleiste  </t>
    </r>
    <r>
      <rPr>
        <b/>
        <sz val="10"/>
        <rFont val="Arial"/>
        <family val="2"/>
      </rPr>
      <t xml:space="preserve">DATEN  </t>
    </r>
    <r>
      <rPr>
        <sz val="10"/>
        <rFont val="Arial"/>
        <family val="2"/>
      </rPr>
      <t>anklicken, danach öffnet sich ein Menü</t>
    </r>
    <r>
      <rPr>
        <b/>
        <sz val="10"/>
        <rFont val="Arial"/>
        <family val="2"/>
      </rPr>
      <t xml:space="preserve">  SORTIEREN</t>
    </r>
    <r>
      <rPr>
        <sz val="10"/>
        <rFont val="Arial"/>
        <family val="0"/>
      </rPr>
      <t xml:space="preserve"> </t>
    </r>
  </si>
  <si>
    <t>Nach Anklicken von Sortieren öffnet sich ein weiteres Menü:</t>
  </si>
  <si>
    <t>Daten wurden jetzt sortiert !</t>
  </si>
  <si>
    <r>
      <t xml:space="preserve">Verein bzw. Klub vom Starter in Spalte  </t>
    </r>
    <r>
      <rPr>
        <b/>
        <sz val="10"/>
        <rFont val="MS Sans Serif"/>
        <family val="2"/>
      </rPr>
      <t>E</t>
    </r>
    <r>
      <rPr>
        <sz val="10"/>
        <rFont val="MS Sans Serif"/>
        <family val="2"/>
      </rPr>
      <t xml:space="preserve">  eingeben</t>
    </r>
  </si>
  <si>
    <r>
      <t xml:space="preserve">Ergebnisse </t>
    </r>
    <r>
      <rPr>
        <b/>
        <sz val="10"/>
        <color indexed="10"/>
        <rFont val="MS Sans Serif"/>
        <family val="2"/>
      </rPr>
      <t>Vorlauf</t>
    </r>
    <r>
      <rPr>
        <sz val="10"/>
        <rFont val="MS Sans Serif"/>
        <family val="2"/>
      </rPr>
      <t xml:space="preserve">  "Volle / Abräumen"  in Spalte  </t>
    </r>
    <r>
      <rPr>
        <b/>
        <sz val="10"/>
        <color indexed="10"/>
        <rFont val="MS Sans Serif"/>
        <family val="2"/>
      </rPr>
      <t>L</t>
    </r>
    <r>
      <rPr>
        <b/>
        <sz val="10"/>
        <rFont val="MS Sans Serif"/>
        <family val="2"/>
      </rPr>
      <t xml:space="preserve">  / </t>
    </r>
    <r>
      <rPr>
        <b/>
        <sz val="10"/>
        <color indexed="10"/>
        <rFont val="MS Sans Serif"/>
        <family val="2"/>
      </rPr>
      <t xml:space="preserve"> M</t>
    </r>
    <r>
      <rPr>
        <sz val="10"/>
        <rFont val="MS Sans Serif"/>
        <family val="2"/>
      </rPr>
      <t xml:space="preserve">  eingeben</t>
    </r>
  </si>
  <si>
    <r>
      <t xml:space="preserve">Ergebnisse </t>
    </r>
    <r>
      <rPr>
        <b/>
        <sz val="10"/>
        <color indexed="10"/>
        <rFont val="MS Sans Serif"/>
        <family val="2"/>
      </rPr>
      <t>Vorlauf</t>
    </r>
    <r>
      <rPr>
        <sz val="10"/>
        <rFont val="MS Sans Serif"/>
        <family val="2"/>
      </rPr>
      <t xml:space="preserve">  "Fehler"  in Spalte  </t>
    </r>
    <r>
      <rPr>
        <b/>
        <sz val="10"/>
        <color indexed="10"/>
        <rFont val="MS Sans Serif"/>
        <family val="2"/>
      </rPr>
      <t>O</t>
    </r>
    <r>
      <rPr>
        <b/>
        <sz val="10"/>
        <rFont val="MS Sans Serif"/>
        <family val="2"/>
      </rPr>
      <t> </t>
    </r>
    <r>
      <rPr>
        <sz val="10"/>
        <rFont val="MS Sans Serif"/>
        <family val="2"/>
      </rPr>
      <t xml:space="preserve"> eingeben</t>
    </r>
  </si>
  <si>
    <r>
      <t xml:space="preserve">Ergebnisse </t>
    </r>
    <r>
      <rPr>
        <b/>
        <sz val="10"/>
        <color indexed="12"/>
        <rFont val="MS Sans Serif"/>
        <family val="2"/>
      </rPr>
      <t>Endlauf</t>
    </r>
    <r>
      <rPr>
        <sz val="10"/>
        <rFont val="MS Sans Serif"/>
        <family val="2"/>
      </rPr>
      <t xml:space="preserve">  "Volle / Abräumen"  in Spalte  </t>
    </r>
    <r>
      <rPr>
        <b/>
        <sz val="10"/>
        <color indexed="12"/>
        <rFont val="MS Sans Serif"/>
        <family val="2"/>
      </rPr>
      <t>Q</t>
    </r>
    <r>
      <rPr>
        <b/>
        <sz val="10"/>
        <rFont val="MS Sans Serif"/>
        <family val="2"/>
      </rPr>
      <t xml:space="preserve">  /  </t>
    </r>
    <r>
      <rPr>
        <b/>
        <sz val="10"/>
        <color indexed="12"/>
        <rFont val="MS Sans Serif"/>
        <family val="2"/>
      </rPr>
      <t>R</t>
    </r>
    <r>
      <rPr>
        <sz val="10"/>
        <rFont val="MS Sans Serif"/>
        <family val="2"/>
      </rPr>
      <t xml:space="preserve">  eingeben</t>
    </r>
  </si>
  <si>
    <r>
      <t xml:space="preserve">Ergebnisse </t>
    </r>
    <r>
      <rPr>
        <b/>
        <sz val="10"/>
        <color indexed="12"/>
        <rFont val="MS Sans Serif"/>
        <family val="2"/>
      </rPr>
      <t>Endlauf</t>
    </r>
    <r>
      <rPr>
        <sz val="10"/>
        <rFont val="MS Sans Serif"/>
        <family val="2"/>
      </rPr>
      <t xml:space="preserve">  "Fehler"  in Spalte  </t>
    </r>
    <r>
      <rPr>
        <b/>
        <sz val="10"/>
        <color indexed="12"/>
        <rFont val="MS Sans Serif"/>
        <family val="2"/>
      </rPr>
      <t>T</t>
    </r>
    <r>
      <rPr>
        <b/>
        <sz val="10"/>
        <rFont val="MS Sans Serif"/>
        <family val="2"/>
      </rPr>
      <t> </t>
    </r>
    <r>
      <rPr>
        <sz val="10"/>
        <rFont val="MS Sans Serif"/>
        <family val="2"/>
      </rPr>
      <t xml:space="preserve"> eingeben</t>
    </r>
  </si>
  <si>
    <r>
      <t xml:space="preserve">Name, Vorname vom Starter in Spalte  </t>
    </r>
    <r>
      <rPr>
        <b/>
        <sz val="10"/>
        <rFont val="Arial"/>
        <family val="2"/>
      </rPr>
      <t xml:space="preserve">C </t>
    </r>
    <r>
      <rPr>
        <sz val="10"/>
        <rFont val="Arial"/>
        <family val="0"/>
      </rPr>
      <t xml:space="preserve"> eingeben</t>
    </r>
  </si>
  <si>
    <r>
      <t xml:space="preserve">Gesamtergebnisse werden automatisch gerechnet &gt;  in Spalte  </t>
    </r>
    <r>
      <rPr>
        <b/>
        <sz val="10"/>
        <rFont val="Arial"/>
        <family val="2"/>
      </rPr>
      <t xml:space="preserve">N </t>
    </r>
    <r>
      <rPr>
        <sz val="10"/>
        <rFont val="Arial"/>
        <family val="2"/>
      </rPr>
      <t>(Vorlauf) und</t>
    </r>
    <r>
      <rPr>
        <b/>
        <sz val="10"/>
        <rFont val="Arial"/>
        <family val="2"/>
      </rPr>
      <t xml:space="preserve"> S </t>
    </r>
    <r>
      <rPr>
        <sz val="10"/>
        <rFont val="Arial"/>
        <family val="2"/>
      </rPr>
      <t>(Endlauf)</t>
    </r>
  </si>
  <si>
    <r>
      <t>Es werden automatisch die Gesamtergebnisse Vorlauf und Endlauf (Spalte </t>
    </r>
    <r>
      <rPr>
        <b/>
        <sz val="10"/>
        <rFont val="MS Sans Serif"/>
        <family val="2"/>
      </rPr>
      <t xml:space="preserve">F </t>
    </r>
    <r>
      <rPr>
        <sz val="10"/>
        <rFont val="MS Sans Serif"/>
        <family val="2"/>
      </rPr>
      <t xml:space="preserve">+ </t>
    </r>
    <r>
      <rPr>
        <b/>
        <sz val="10"/>
        <rFont val="MS Sans Serif"/>
        <family val="2"/>
      </rPr>
      <t>G</t>
    </r>
    <r>
      <rPr>
        <sz val="10"/>
        <rFont val="MS Sans Serif"/>
        <family val="2"/>
      </rPr>
      <t>) übertragen.</t>
    </r>
  </si>
  <si>
    <r>
      <t>Weiterhin automatisch gerechnet werden die Spalten</t>
    </r>
    <r>
      <rPr>
        <b/>
        <sz val="10"/>
        <rFont val="MS Sans Serif"/>
        <family val="2"/>
      </rPr>
      <t> H</t>
    </r>
    <r>
      <rPr>
        <sz val="10"/>
        <rFont val="MS Sans Serif"/>
        <family val="2"/>
      </rPr>
      <t xml:space="preserve"> (Gesamt), </t>
    </r>
    <r>
      <rPr>
        <b/>
        <sz val="10"/>
        <rFont val="MS Sans Serif"/>
        <family val="2"/>
      </rPr>
      <t>I</t>
    </r>
    <r>
      <rPr>
        <sz val="10"/>
        <rFont val="MS Sans Serif"/>
        <family val="2"/>
      </rPr>
      <t xml:space="preserve"> (Abräumen-Gesamt) und </t>
    </r>
    <r>
      <rPr>
        <b/>
        <sz val="10"/>
        <rFont val="MS Sans Serif"/>
        <family val="2"/>
      </rPr>
      <t>J</t>
    </r>
    <r>
      <rPr>
        <sz val="10"/>
        <rFont val="MS Sans Serif"/>
        <family val="2"/>
      </rPr>
      <t xml:space="preserve"> (Fehler-Gesamt) </t>
    </r>
  </si>
  <si>
    <t>3. Sortieren von Datensätzen</t>
  </si>
  <si>
    <r>
      <t>Sortieren nach Spalte</t>
    </r>
    <r>
      <rPr>
        <b/>
        <sz val="10"/>
        <rFont val="MS Sans Serif"/>
        <family val="0"/>
      </rPr>
      <t xml:space="preserve"> </t>
    </r>
    <r>
      <rPr>
        <b/>
        <sz val="10"/>
        <rFont val="MS Sans Serif"/>
        <family val="2"/>
      </rPr>
      <t>H</t>
    </r>
    <r>
      <rPr>
        <b/>
        <sz val="10"/>
        <rFont val="Arial"/>
        <family val="2"/>
      </rPr>
      <t xml:space="preserve"> absteigend</t>
    </r>
    <r>
      <rPr>
        <sz val="10"/>
        <rFont val="Arial"/>
        <family val="0"/>
      </rPr>
      <t xml:space="preserve">, danach nach Spalte </t>
    </r>
    <r>
      <rPr>
        <b/>
        <sz val="10"/>
        <rFont val="MS Sans Serif"/>
        <family val="2"/>
      </rPr>
      <t>I absteigend</t>
    </r>
    <r>
      <rPr>
        <sz val="10"/>
        <rFont val="Arial"/>
        <family val="0"/>
      </rPr>
      <t xml:space="preserve"> und </t>
    </r>
    <r>
      <rPr>
        <b/>
        <sz val="10"/>
        <rFont val="MS Sans Serif"/>
        <family val="2"/>
      </rPr>
      <t>J</t>
    </r>
    <r>
      <rPr>
        <b/>
        <sz val="10"/>
        <rFont val="Arial"/>
        <family val="2"/>
      </rPr>
      <t xml:space="preserve"> aufsteigend </t>
    </r>
    <r>
      <rPr>
        <sz val="10"/>
        <rFont val="Arial"/>
        <family val="2"/>
      </rPr>
      <t>( ist vorbelegt ! )</t>
    </r>
  </si>
  <si>
    <t>Bitte links die Zeilen des zu sortierenden Bereiches markieren</t>
  </si>
  <si>
    <r>
      <t>ohne</t>
    </r>
    <r>
      <rPr>
        <sz val="10"/>
        <rFont val="Arial"/>
        <family val="0"/>
      </rPr>
      <t xml:space="preserve"> Überschriften markieren ! </t>
    </r>
  </si>
  <si>
    <r>
      <t xml:space="preserve">&gt;&gt;&gt;&gt;&gt;&gt;   </t>
    </r>
    <r>
      <rPr>
        <b/>
        <sz val="10"/>
        <rFont val="Arial"/>
        <family val="2"/>
      </rPr>
      <t xml:space="preserve">OK   </t>
    </r>
    <r>
      <rPr>
        <sz val="10"/>
        <rFont val="Arial"/>
        <family val="2"/>
      </rPr>
      <t>betätigen</t>
    </r>
    <r>
      <rPr>
        <b/>
        <sz val="10"/>
        <rFont val="Arial"/>
        <family val="2"/>
      </rPr>
      <t xml:space="preserve"> </t>
    </r>
  </si>
  <si>
    <t>4. Ergebnismeldung nach Vor- und Endlauf</t>
  </si>
  <si>
    <t>5. Startzeiten für die Endläufe</t>
  </si>
  <si>
    <t>Bitte auf der Kegelbahn eine Telefon-Nummer aushängen, wo sich die Starter wegen ihrer Endlaufzeiten melden</t>
  </si>
  <si>
    <r>
      <t xml:space="preserve">können. Auf den Zettel bitte angeben  </t>
    </r>
    <r>
      <rPr>
        <b/>
        <sz val="10"/>
        <color indexed="10"/>
        <rFont val="Arial"/>
        <family val="2"/>
      </rPr>
      <t>Name, Telefon-Nr. Zeit</t>
    </r>
    <r>
      <rPr>
        <sz val="10"/>
        <rFont val="Arial"/>
        <family val="0"/>
      </rPr>
      <t xml:space="preserve"> in der angerufen werden kann.</t>
    </r>
  </si>
  <si>
    <t>6. Start- und Bahngebühren</t>
  </si>
  <si>
    <r>
      <t xml:space="preserve">Startgebühren müssen von den austragenden Vereinen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kassiert werden, werden wie in den Vorjahren wieder</t>
    </r>
  </si>
  <si>
    <t>direkt abgebucht.</t>
  </si>
  <si>
    <t>Bahnabrechnungen müssen auch nicht gemacht werden, die Bahnzuschüsse werden vom Kreis automatisch an</t>
  </si>
  <si>
    <t>die austragenden Vereine überwiesen.</t>
  </si>
  <si>
    <t>Neuhaus 2</t>
  </si>
  <si>
    <t>Forchheim 2</t>
  </si>
  <si>
    <t>Forchheim 1</t>
  </si>
  <si>
    <t>Forchheim</t>
  </si>
  <si>
    <t>Höchstadt 2</t>
  </si>
  <si>
    <t>Erlangen 5</t>
  </si>
  <si>
    <t>Erlangen 4</t>
  </si>
  <si>
    <t>Erlangen 6</t>
  </si>
  <si>
    <t>Tuspo H'berg</t>
  </si>
  <si>
    <r>
      <t xml:space="preserve">Titelverteidiger :  </t>
    </r>
    <r>
      <rPr>
        <b/>
        <sz val="11"/>
        <rFont val="Arial"/>
        <family val="2"/>
      </rPr>
      <t>I d r i s o g l o u , Gökhan</t>
    </r>
    <r>
      <rPr>
        <sz val="11"/>
        <rFont val="Arial"/>
        <family val="2"/>
      </rPr>
      <t xml:space="preserve">     Verein Erlangen        </t>
    </r>
    <r>
      <rPr>
        <b/>
        <sz val="11"/>
        <rFont val="Arial"/>
        <family val="2"/>
      </rPr>
      <t xml:space="preserve"> 1 8 4 6</t>
    </r>
    <r>
      <rPr>
        <sz val="11"/>
        <rFont val="Arial"/>
        <family val="2"/>
      </rPr>
      <t xml:space="preserve">   Kegel</t>
    </r>
  </si>
  <si>
    <t>Erlangen 13</t>
  </si>
  <si>
    <t>Erlangen 12</t>
  </si>
  <si>
    <t>Erlangen 11</t>
  </si>
  <si>
    <t>Erlangen 10</t>
  </si>
  <si>
    <t>Erlangen 9</t>
  </si>
  <si>
    <t>Erlangen 8</t>
  </si>
  <si>
    <t>Erlangen 7</t>
  </si>
  <si>
    <t>GH H'aurach 2</t>
  </si>
  <si>
    <t>GH H'aurach 1</t>
  </si>
  <si>
    <t xml:space="preserve">Dürrbeck, Margarete </t>
  </si>
  <si>
    <t>01.45</t>
  </si>
  <si>
    <t>Geist, Inge</t>
  </si>
  <si>
    <t>Siebenäuger, Inge</t>
  </si>
  <si>
    <t>Kotulla, Annerose</t>
  </si>
  <si>
    <t>Bittner, Adelheid</t>
  </si>
  <si>
    <t>11.49</t>
  </si>
  <si>
    <t>04.49</t>
  </si>
  <si>
    <t>05.51</t>
  </si>
  <si>
    <t>Paus, Marion</t>
  </si>
  <si>
    <t>Leppig, Petra</t>
  </si>
  <si>
    <t>08.60</t>
  </si>
  <si>
    <t>Gundelsheimer, Ute</t>
  </si>
  <si>
    <t>05.54</t>
  </si>
  <si>
    <t>Donat, Margit</t>
  </si>
  <si>
    <t>05.58</t>
  </si>
  <si>
    <t>05.86</t>
  </si>
  <si>
    <t>07.78</t>
  </si>
  <si>
    <t>Joppert, Romy</t>
  </si>
  <si>
    <t>09.80</t>
  </si>
  <si>
    <t>Huppek, Julia</t>
  </si>
  <si>
    <t>06.85</t>
  </si>
  <si>
    <t>07.92</t>
  </si>
  <si>
    <t>08.89</t>
  </si>
  <si>
    <t>Seckanovic, Damir</t>
  </si>
  <si>
    <t>01.92</t>
  </si>
  <si>
    <r>
      <t xml:space="preserve">   Vorlauf:  Bahn  1 - 4  (24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1 - 4   (12 Starter)</t>
    </r>
  </si>
  <si>
    <t>GH H´aurach</t>
  </si>
  <si>
    <t>10.00</t>
  </si>
  <si>
    <r>
      <t xml:space="preserve">   Vorlauf:  Bahn  3 + 4  (3 Starter)  /   Endlauf: </t>
    </r>
    <r>
      <rPr>
        <b/>
        <sz val="10"/>
        <rFont val="Arial"/>
        <family val="2"/>
      </rPr>
      <t>15.00</t>
    </r>
    <r>
      <rPr>
        <sz val="10"/>
        <rFont val="Arial"/>
        <family val="0"/>
      </rPr>
      <t xml:space="preserve"> Uhr  Bahn  1 + 2   (3 Starter)</t>
    </r>
  </si>
  <si>
    <t>Kreismeisterschaft 2013  -   SKV Röttenbach</t>
  </si>
  <si>
    <t xml:space="preserve"> J u n i o r e n       ( 01.07.1989 - 30.06.1994 )</t>
  </si>
  <si>
    <t>09. / 10. März 2013</t>
  </si>
  <si>
    <t>Teilnehmer an der Bezirksmeisterschaften 2013:   U23 männlich  Platz 1 - 3</t>
  </si>
  <si>
    <t>Neuhaus</t>
  </si>
  <si>
    <t>n.a.</t>
  </si>
  <si>
    <t>Erlangen 14</t>
  </si>
  <si>
    <t>Adelsdorf 3</t>
  </si>
  <si>
    <t>Kreismeisterschaft 2013  -   Gut Holz  H ö c h s t a d t</t>
  </si>
  <si>
    <t xml:space="preserve"> M ä n n e r       ( 01.07.1963 - 30.06.1989 )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</si>
  <si>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10.03.2013</t>
    </r>
    <r>
      <rPr>
        <sz val="10"/>
        <rFont val="Arial"/>
        <family val="0"/>
      </rPr>
      <t xml:space="preserve"> direkt nach den Endläufen bei Gut Holz Höchstadt</t>
    </r>
  </si>
  <si>
    <t>Teilnehmer an der Bezirksmeisterschaften 2013:   Männer  Platz 1 - 4</t>
  </si>
  <si>
    <r>
      <t xml:space="preserve">am  </t>
    </r>
    <r>
      <rPr>
        <b/>
        <sz val="10"/>
        <rFont val="Arial"/>
        <family val="2"/>
      </rPr>
      <t xml:space="preserve">27. /  28. 04. 2013 </t>
    </r>
    <r>
      <rPr>
        <sz val="10"/>
        <rFont val="Arial"/>
        <family val="0"/>
      </rPr>
      <t xml:space="preserve"> bei  </t>
    </r>
    <r>
      <rPr>
        <b/>
        <sz val="10"/>
        <rFont val="Arial"/>
        <family val="2"/>
      </rPr>
      <t>Gut Holz Höchstadt</t>
    </r>
  </si>
  <si>
    <t>Kreismeisterschaft 2013  -   T V  1 8 4 8   E r l a n g e n</t>
  </si>
  <si>
    <t xml:space="preserve"> S e n i o r e n   A     ( 01.07.1953 - 30.06.1963 )</t>
  </si>
  <si>
    <t xml:space="preserve"> S e n i o r e n   B     ( bis einschl. 30.06.1953 )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</si>
  <si>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10.03.2013</t>
    </r>
    <r>
      <rPr>
        <sz val="10"/>
        <rFont val="Arial"/>
        <family val="0"/>
      </rPr>
      <t xml:space="preserve"> direkt nach den Endläufen beim </t>
    </r>
    <r>
      <rPr>
        <b/>
        <sz val="10"/>
        <rFont val="Arial"/>
        <family val="2"/>
      </rPr>
      <t>TV 1848 Erlangen</t>
    </r>
  </si>
  <si>
    <t>Teilnehmer an der Bezirksmeisterschaften 2013:   Senioren A  Platz 1 - 5</t>
  </si>
  <si>
    <t>Teilnehmer an der Bezirksmeisterschaften 2013:   Senioren B  Platz 1 - 5</t>
  </si>
  <si>
    <r>
      <t xml:space="preserve">am  </t>
    </r>
    <r>
      <rPr>
        <b/>
        <sz val="10"/>
        <rFont val="Arial"/>
        <family val="2"/>
      </rPr>
      <t xml:space="preserve">11. /  12. 05. 2013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>TSV Burgfarrnbach</t>
    </r>
  </si>
  <si>
    <r>
      <t xml:space="preserve">   Vorlauf:  Bahn  1 + 2  (20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3 + 4   (12 Starter)</t>
    </r>
  </si>
  <si>
    <t xml:space="preserve">Höchstadt </t>
  </si>
  <si>
    <t xml:space="preserve"> J u n i o r i n n e n       ( 01.07.1989 - 30.06.1994 )</t>
  </si>
  <si>
    <t>Teilnehmer an der Bezirksmeisterschaften 2013:   U23 weiblich  Platz 1 - 4</t>
  </si>
  <si>
    <r>
      <t xml:space="preserve">am  </t>
    </r>
    <r>
      <rPr>
        <b/>
        <sz val="10"/>
        <rFont val="Arial"/>
        <family val="2"/>
      </rPr>
      <t xml:space="preserve">27. /  28. 04. 2013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>Baiersdorfer SV</t>
    </r>
  </si>
  <si>
    <t>Kreismeisterschaft 2013  -   keine Auspielung</t>
  </si>
  <si>
    <t xml:space="preserve"> F r a u e n       ( 01.07.1963 - 30.06.1989 )</t>
  </si>
  <si>
    <t>Kreismeisterschaft 2013  -   B a i e r s d o r f e r  S V</t>
  </si>
  <si>
    <r>
      <t xml:space="preserve">   Vorlauf:  Bahn  1 + 2  (18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3 + 4   (12 Starter)</t>
    </r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</si>
  <si>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10.03.2013</t>
    </r>
    <r>
      <rPr>
        <sz val="10"/>
        <rFont val="Arial"/>
        <family val="0"/>
      </rPr>
      <t xml:space="preserve"> direkt nach den Endläufen beim </t>
    </r>
    <r>
      <rPr>
        <b/>
        <sz val="10"/>
        <rFont val="Arial"/>
        <family val="2"/>
      </rPr>
      <t>Baiersdorfer SV</t>
    </r>
  </si>
  <si>
    <t>Teilnehmer an der Bezirksmeisterschaften 2013:   Frauen  Platz 1 - 5</t>
  </si>
  <si>
    <t>Neuhaus 3</t>
  </si>
  <si>
    <t>Höchstadt</t>
  </si>
  <si>
    <t xml:space="preserve"> S e n i o r i n n e n   A     ( 01.07.1953 - 30.06.1963 )</t>
  </si>
  <si>
    <t>Teilnehmer an der Bezirksmeisterschaften 2013:   Seniorinnen A  Platz 1 - 6</t>
  </si>
  <si>
    <r>
      <t xml:space="preserve">am  </t>
    </r>
    <r>
      <rPr>
        <b/>
        <sz val="10"/>
        <rFont val="Arial"/>
        <family val="2"/>
      </rPr>
      <t xml:space="preserve">11. /  12. 05. 2013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>KC Weiherhof</t>
    </r>
  </si>
  <si>
    <t>Teilnehmer an der Bezirksmeisterschaften 2013:   Seniorinnen B  Platz 1 - 8</t>
  </si>
  <si>
    <t>Heym, Gitta</t>
  </si>
  <si>
    <t>07.55</t>
  </si>
  <si>
    <t>12.61</t>
  </si>
  <si>
    <t>Winkler, Regina</t>
  </si>
  <si>
    <t>12.57</t>
  </si>
  <si>
    <t>NN</t>
  </si>
  <si>
    <t>Hummel, Petra</t>
  </si>
  <si>
    <t>02.68</t>
  </si>
  <si>
    <t>Perkins, Nadine</t>
  </si>
  <si>
    <t>07.64</t>
  </si>
  <si>
    <t>Balzert, Daniel</t>
  </si>
  <si>
    <t>02.94</t>
  </si>
  <si>
    <r>
      <t xml:space="preserve">am  </t>
    </r>
    <r>
      <rPr>
        <b/>
        <sz val="10"/>
        <rFont val="Arial"/>
        <family val="2"/>
      </rPr>
      <t xml:space="preserve">27. /  28. 04. 2013 </t>
    </r>
    <r>
      <rPr>
        <sz val="10"/>
        <rFont val="Arial"/>
        <family val="0"/>
      </rPr>
      <t xml:space="preserve"> beim </t>
    </r>
    <r>
      <rPr>
        <b/>
        <sz val="10"/>
        <rFont val="Arial"/>
        <family val="2"/>
      </rPr>
      <t>SKV Röttenbach</t>
    </r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</si>
  <si>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10.03.2013</t>
    </r>
    <r>
      <rPr>
        <sz val="10"/>
        <rFont val="Arial"/>
        <family val="0"/>
      </rPr>
      <t xml:space="preserve"> direkt nach den Endläufen beim </t>
    </r>
    <r>
      <rPr>
        <b/>
        <sz val="10"/>
        <rFont val="Arial"/>
        <family val="2"/>
      </rPr>
      <t>SKV Röttenbach</t>
    </r>
  </si>
  <si>
    <t xml:space="preserve"> S e n i o r i n n e n  B       ( bis einschl. 30.06.1953 )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</si>
  <si>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10.03.2013</t>
    </r>
    <r>
      <rPr>
        <sz val="10"/>
        <rFont val="Arial"/>
        <family val="0"/>
      </rPr>
      <t xml:space="preserve"> direkt nach den Endläufen beim </t>
    </r>
    <r>
      <rPr>
        <b/>
        <sz val="10"/>
        <rFont val="Arial"/>
        <family val="2"/>
      </rPr>
      <t>SKV Röttenbach.</t>
    </r>
  </si>
  <si>
    <r>
      <t xml:space="preserve">Titelverteidiger :  </t>
    </r>
    <r>
      <rPr>
        <b/>
        <sz val="11"/>
        <rFont val="Arial"/>
        <family val="2"/>
      </rPr>
      <t>D ü r r b e c k,  Margarete</t>
    </r>
    <r>
      <rPr>
        <sz val="11"/>
        <rFont val="Arial"/>
        <family val="2"/>
      </rPr>
      <t xml:space="preserve">       Verein  Röttenbach    </t>
    </r>
    <r>
      <rPr>
        <b/>
        <sz val="11"/>
        <rFont val="Arial"/>
        <family val="2"/>
      </rPr>
      <t>8 6 9</t>
    </r>
    <r>
      <rPr>
        <sz val="11"/>
        <rFont val="Arial"/>
        <family val="2"/>
      </rPr>
      <t xml:space="preserve">   Kegel</t>
    </r>
  </si>
  <si>
    <t>Kreismeisterschaft 2013  -   S K V  R ö t t e n b a c h</t>
  </si>
  <si>
    <r>
      <t xml:space="preserve">Titelverteidiger :  </t>
    </r>
    <r>
      <rPr>
        <b/>
        <sz val="11"/>
        <rFont val="Arial"/>
        <family val="2"/>
      </rPr>
      <t>D o l l a c k , Maydi</t>
    </r>
    <r>
      <rPr>
        <sz val="11"/>
        <rFont val="Arial"/>
        <family val="2"/>
      </rPr>
      <t xml:space="preserve">     Verein Erlangen        </t>
    </r>
    <r>
      <rPr>
        <b/>
        <sz val="11"/>
        <rFont val="Arial"/>
        <family val="2"/>
      </rPr>
      <t xml:space="preserve"> 8 5 7</t>
    </r>
    <r>
      <rPr>
        <sz val="11"/>
        <rFont val="Arial"/>
        <family val="2"/>
      </rPr>
      <t xml:space="preserve">   Kegel</t>
    </r>
  </si>
  <si>
    <t>09.55</t>
  </si>
  <si>
    <t>05.56</t>
  </si>
  <si>
    <t>Roth, Tanja</t>
  </si>
  <si>
    <r>
      <t xml:space="preserve">Titelverteidiger :  </t>
    </r>
    <r>
      <rPr>
        <b/>
        <sz val="11"/>
        <rFont val="Arial"/>
        <family val="2"/>
      </rPr>
      <t>P e r k i n s , Nadine</t>
    </r>
    <r>
      <rPr>
        <sz val="11"/>
        <rFont val="Arial"/>
        <family val="2"/>
      </rPr>
      <t xml:space="preserve">     Verein Erlangen        </t>
    </r>
    <r>
      <rPr>
        <b/>
        <sz val="11"/>
        <rFont val="Arial"/>
        <family val="2"/>
      </rPr>
      <t xml:space="preserve"> 9 2 6</t>
    </r>
    <r>
      <rPr>
        <sz val="11"/>
        <rFont val="Arial"/>
        <family val="2"/>
      </rPr>
      <t xml:space="preserve">   Kegel</t>
    </r>
  </si>
  <si>
    <r>
      <t xml:space="preserve">Titelverteidiger :  </t>
    </r>
    <r>
      <rPr>
        <b/>
        <sz val="11"/>
        <rFont val="Arial"/>
        <family val="2"/>
      </rPr>
      <t>N e u b a u e r , Jasmin</t>
    </r>
    <r>
      <rPr>
        <sz val="11"/>
        <rFont val="Arial"/>
        <family val="2"/>
      </rPr>
      <t xml:space="preserve">     T S V  Hemhofen        </t>
    </r>
    <r>
      <rPr>
        <b/>
        <sz val="11"/>
        <rFont val="Arial"/>
        <family val="2"/>
      </rPr>
      <t xml:space="preserve"> 8 9 4</t>
    </r>
    <r>
      <rPr>
        <sz val="11"/>
        <rFont val="Arial"/>
        <family val="2"/>
      </rPr>
      <t xml:space="preserve">   Kegel</t>
    </r>
  </si>
  <si>
    <r>
      <t xml:space="preserve">Titelverteidiger :  </t>
    </r>
    <r>
      <rPr>
        <b/>
        <sz val="11"/>
        <rFont val="Arial"/>
        <family val="2"/>
      </rPr>
      <t>K o r b , Günther</t>
    </r>
    <r>
      <rPr>
        <sz val="11"/>
        <rFont val="Arial"/>
        <family val="2"/>
      </rPr>
      <t xml:space="preserve">     Verein Erlangen        </t>
    </r>
    <r>
      <rPr>
        <b/>
        <sz val="11"/>
        <rFont val="Arial"/>
        <family val="2"/>
      </rPr>
      <t xml:space="preserve"> 8 8 7</t>
    </r>
    <r>
      <rPr>
        <sz val="11"/>
        <rFont val="Arial"/>
        <family val="2"/>
      </rPr>
      <t xml:space="preserve">   Kegel</t>
    </r>
  </si>
  <si>
    <t>Amon, Robert</t>
  </si>
  <si>
    <t>06.51</t>
  </si>
  <si>
    <t>Schulz, Jürgen</t>
  </si>
  <si>
    <t>03.36</t>
  </si>
  <si>
    <t>Arnold, Jörg</t>
  </si>
  <si>
    <t>04.40</t>
  </si>
  <si>
    <t>Baaske, Rudi</t>
  </si>
  <si>
    <t>06,51</t>
  </si>
  <si>
    <t>Bartikowski, Gerd</t>
  </si>
  <si>
    <t>08.44</t>
  </si>
  <si>
    <t>Blau, Hugo</t>
  </si>
  <si>
    <t>05,43</t>
  </si>
  <si>
    <t>Kirsch, Karl</t>
  </si>
  <si>
    <t>09.36</t>
  </si>
  <si>
    <t>Köppelle, Ludwig</t>
  </si>
  <si>
    <t>09.52</t>
  </si>
  <si>
    <t>Korb, Günther</t>
  </si>
  <si>
    <t>07.50</t>
  </si>
  <si>
    <t>Paulini, Helmut</t>
  </si>
  <si>
    <t>Polster, Richard</t>
  </si>
  <si>
    <t>10.51</t>
  </si>
  <si>
    <t>07.43</t>
  </si>
  <si>
    <r>
      <t xml:space="preserve">Titelverteidiger :  </t>
    </r>
    <r>
      <rPr>
        <b/>
        <sz val="11"/>
        <rFont val="Arial"/>
        <family val="2"/>
      </rPr>
      <t>G u m b r e c h t , Karlheinz</t>
    </r>
    <r>
      <rPr>
        <sz val="11"/>
        <rFont val="Arial"/>
        <family val="2"/>
      </rPr>
      <t xml:space="preserve">     Verein Erlangen     </t>
    </r>
    <r>
      <rPr>
        <b/>
        <sz val="11"/>
        <rFont val="Arial"/>
        <family val="2"/>
      </rPr>
      <t xml:space="preserve">9 2 9  </t>
    </r>
    <r>
      <rPr>
        <sz val="11"/>
        <rFont val="Arial"/>
        <family val="2"/>
      </rPr>
      <t>Kegel</t>
    </r>
  </si>
  <si>
    <t>Beck, Wolfgang</t>
  </si>
  <si>
    <t>08.55</t>
  </si>
  <si>
    <t>Gumbrecht, Karlheinz</t>
  </si>
  <si>
    <t>03.56</t>
  </si>
  <si>
    <t>Pech, Bernhard</t>
  </si>
  <si>
    <t>08.59</t>
  </si>
  <si>
    <t>Schaller, Klaus</t>
  </si>
  <si>
    <t>06.60</t>
  </si>
  <si>
    <t>Scholten, Dieter</t>
  </si>
  <si>
    <t>02.54</t>
  </si>
  <si>
    <t>02.58</t>
  </si>
  <si>
    <t>Schuhmann, Adolf</t>
  </si>
  <si>
    <t>03.58</t>
  </si>
  <si>
    <t>Schweidler, Michael</t>
  </si>
  <si>
    <t>Zenk, Erich</t>
  </si>
  <si>
    <t>10.57</t>
  </si>
  <si>
    <t>Grötsch, Walter</t>
  </si>
  <si>
    <t>07.57</t>
  </si>
  <si>
    <r>
      <t xml:space="preserve">Titelverteidiger :  </t>
    </r>
    <r>
      <rPr>
        <b/>
        <sz val="11"/>
        <rFont val="Arial"/>
        <family val="2"/>
      </rPr>
      <t>D e g e n , Alexander</t>
    </r>
    <r>
      <rPr>
        <sz val="11"/>
        <rFont val="Arial"/>
        <family val="2"/>
      </rPr>
      <t xml:space="preserve">     Verein  Erlangen        </t>
    </r>
    <r>
      <rPr>
        <b/>
        <sz val="11"/>
        <rFont val="Arial"/>
        <family val="2"/>
      </rPr>
      <t xml:space="preserve"> 1 8 3 7</t>
    </r>
    <r>
      <rPr>
        <sz val="11"/>
        <rFont val="Arial"/>
        <family val="2"/>
      </rPr>
      <t xml:space="preserve">   Kegel</t>
    </r>
  </si>
  <si>
    <t>Ademovic, Adnan</t>
  </si>
  <si>
    <t>08.63</t>
  </si>
  <si>
    <t>Beck, Christian</t>
  </si>
  <si>
    <t>09.82</t>
  </si>
  <si>
    <t>Braun, Michael</t>
  </si>
  <si>
    <t>11.66</t>
  </si>
  <si>
    <t>Degen, Alexander</t>
  </si>
  <si>
    <t>08.81</t>
  </si>
  <si>
    <t>Dirian, Uwe</t>
  </si>
  <si>
    <t>03.67</t>
  </si>
  <si>
    <t>Flossmann, Christian</t>
  </si>
  <si>
    <t>09.70</t>
  </si>
  <si>
    <t>Gumbrecht, Heiko</t>
  </si>
  <si>
    <t>Hummel, Jürgen</t>
  </si>
  <si>
    <t>08.69</t>
  </si>
  <si>
    <t>Idrisoglou, Gökhan</t>
  </si>
  <si>
    <t>05.88</t>
  </si>
  <si>
    <t>Schermeyer, Steffen</t>
  </si>
  <si>
    <t>12.74</t>
  </si>
  <si>
    <t>Seckanovic, Mirnad</t>
  </si>
  <si>
    <t>02.83</t>
  </si>
  <si>
    <t>Vornberger, Rainer</t>
  </si>
  <si>
    <t>Widmann, Andre</t>
  </si>
  <si>
    <t>09.74</t>
  </si>
  <si>
    <t>Winkler, Florian</t>
  </si>
  <si>
    <t>11.83</t>
  </si>
  <si>
    <t>Bahn</t>
  </si>
  <si>
    <t>Eibert, Manuel</t>
  </si>
  <si>
    <t>Bräunig, Alexander</t>
  </si>
  <si>
    <t>05.82</t>
  </si>
  <si>
    <t>Dausch Benno</t>
  </si>
  <si>
    <t>Horst Roland </t>
  </si>
  <si>
    <t>04.61</t>
  </si>
  <si>
    <r>
      <t xml:space="preserve">   Vorlauf:  Bahn  1 - 4  (8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1 - 4   (8 Starter)</t>
    </r>
  </si>
  <si>
    <t>07.61</t>
  </si>
  <si>
    <t>Ort, Simone</t>
  </si>
  <si>
    <t>Oppelt, Claudia</t>
  </si>
  <si>
    <t>05.72</t>
  </si>
  <si>
    <t>05.85</t>
  </si>
  <si>
    <t>04.84</t>
  </si>
  <si>
    <t xml:space="preserve">Neuper, Gaby </t>
  </si>
  <si>
    <t>09.62</t>
  </si>
  <si>
    <t>Röhling, Jessica</t>
  </si>
  <si>
    <t>10.79</t>
  </si>
  <si>
    <t>Röhling, Sonja</t>
  </si>
  <si>
    <t>10.81</t>
  </si>
  <si>
    <t xml:space="preserve">Forchheim </t>
  </si>
  <si>
    <t>Röhling, Matthias</t>
  </si>
  <si>
    <t>04.78</t>
  </si>
  <si>
    <t>Schuster, Harald</t>
  </si>
  <si>
    <t>06.59</t>
  </si>
  <si>
    <t>Neubauer, Egon</t>
  </si>
  <si>
    <t>02.49</t>
  </si>
  <si>
    <t>Popp, Brunhilde</t>
  </si>
  <si>
    <t>04.57</t>
  </si>
  <si>
    <t>Groth, Ute</t>
  </si>
  <si>
    <t>11.48</t>
  </si>
  <si>
    <t>Schilasky, Maria</t>
  </si>
  <si>
    <t>12.46</t>
  </si>
  <si>
    <t>Böld, Anita</t>
  </si>
  <si>
    <t>Kögler, Christine</t>
  </si>
  <si>
    <t>02.53</t>
  </si>
  <si>
    <t>Hirsch Karin</t>
  </si>
  <si>
    <t>Knösel, Blazenka</t>
  </si>
  <si>
    <t>Sauer, Dominik</t>
  </si>
  <si>
    <t>Rippel Hermann</t>
  </si>
  <si>
    <t>03.57</t>
  </si>
  <si>
    <t>09.51</t>
  </si>
  <si>
    <t>Wojaczek Siegfried</t>
  </si>
  <si>
    <t>10.47</t>
  </si>
  <si>
    <t>Schäfer, Jürgen</t>
  </si>
  <si>
    <t>Wagner, Felix</t>
  </si>
  <si>
    <t>07.77</t>
  </si>
  <si>
    <t>Apelt, Jan</t>
  </si>
  <si>
    <t>02.74</t>
  </si>
  <si>
    <t>Lux, Thomas</t>
  </si>
  <si>
    <t>03.80</t>
  </si>
  <si>
    <t>Bratenstein, Liane</t>
  </si>
  <si>
    <t>10.65</t>
  </si>
  <si>
    <t>11.68</t>
  </si>
  <si>
    <t>Dittkuhn, Gudrun</t>
  </si>
  <si>
    <t>12.45</t>
  </si>
  <si>
    <t>Graf, Beate</t>
  </si>
  <si>
    <t>07.56</t>
  </si>
  <si>
    <t>Holzmann, Erika</t>
  </si>
  <si>
    <t>09.56</t>
  </si>
  <si>
    <t>Hasenberger, Sindy</t>
  </si>
  <si>
    <t>04.87</t>
  </si>
  <si>
    <t>Lang, Ute</t>
  </si>
  <si>
    <t>10.71</t>
  </si>
  <si>
    <t>Oepp, Liane</t>
  </si>
  <si>
    <t>Miksch, Matthias</t>
  </si>
  <si>
    <t>08.80</t>
  </si>
  <si>
    <t>Neudecker, Ernst</t>
  </si>
  <si>
    <t>Daube, Christian</t>
  </si>
  <si>
    <t>09.91</t>
  </si>
  <si>
    <t>11.92</t>
  </si>
  <si>
    <t>Müller, Matthias</t>
  </si>
  <si>
    <t>04.82</t>
  </si>
  <si>
    <t>Egbers, Johann</t>
  </si>
  <si>
    <t>Peisker, Thomas</t>
  </si>
  <si>
    <t>08.57</t>
  </si>
  <si>
    <t>09.59</t>
  </si>
  <si>
    <t>Maier, Konrad</t>
  </si>
  <si>
    <t>11.39</t>
  </si>
  <si>
    <t>Schmirler, Julia  *)</t>
  </si>
  <si>
    <t>Hormess, Katrin  *)</t>
  </si>
  <si>
    <t>*) direkt zum Bezirk !!!!</t>
  </si>
  <si>
    <t>Maier, Carmen</t>
  </si>
  <si>
    <t>01.85</t>
  </si>
  <si>
    <t>Lux, Monika</t>
  </si>
  <si>
    <t>Brendel, Claudia</t>
  </si>
  <si>
    <t>05.61</t>
  </si>
  <si>
    <t>05.63</t>
  </si>
  <si>
    <r>
      <t>simon.stengel@nefkom.net</t>
    </r>
    <r>
      <rPr>
        <sz val="10"/>
        <rFont val="Arial"/>
        <family val="0"/>
      </rPr>
      <t xml:space="preserve">   (Simon Stengel) durchgeben.</t>
    </r>
  </si>
  <si>
    <r>
      <t xml:space="preserve">Bitte direkt die Ergebnisse nach Vor- und Endlauf per E-Mail an </t>
    </r>
    <r>
      <rPr>
        <b/>
        <sz val="10"/>
        <rFont val="Arial"/>
        <family val="2"/>
      </rPr>
      <t>BV-BSKV.MFR@ok.de</t>
    </r>
    <r>
      <rPr>
        <sz val="10"/>
        <rFont val="Arial"/>
        <family val="0"/>
      </rPr>
      <t xml:space="preserve">  (Roland Watzer) und </t>
    </r>
  </si>
  <si>
    <r>
      <t xml:space="preserve">   Vorlauf:  Bahn  1 - 4  (10 Starter)  /   Endlauf: </t>
    </r>
    <r>
      <rPr>
        <b/>
        <sz val="10"/>
        <rFont val="Arial"/>
        <family val="2"/>
      </rPr>
      <t>13.30</t>
    </r>
    <r>
      <rPr>
        <sz val="10"/>
        <rFont val="Arial"/>
        <family val="0"/>
      </rPr>
      <t xml:space="preserve"> Uhr  Bahn  1 - 4   (10 Starter)</t>
    </r>
  </si>
  <si>
    <r>
      <t xml:space="preserve">   Vorlauf:  Bahn  3 + 4  (18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+ 2   (12 Starter)</t>
    </r>
  </si>
  <si>
    <r>
      <t xml:space="preserve">   Vorlauf:  Bahn  3 + 4  (15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+ 2   (12 Starter)</t>
    </r>
  </si>
  <si>
    <t>08.72</t>
  </si>
  <si>
    <t>04.63</t>
  </si>
  <si>
    <t>Kutzner, Manfred</t>
  </si>
  <si>
    <t>11.59</t>
  </si>
  <si>
    <t>Ross, Hans</t>
  </si>
  <si>
    <t>12.62</t>
  </si>
  <si>
    <t>Reinhardt, Theo</t>
  </si>
  <si>
    <t>07.52</t>
  </si>
  <si>
    <t>Schachtner, Christian</t>
  </si>
  <si>
    <t>Reinhardt,Wolfgang</t>
  </si>
  <si>
    <t>Pfeiffer,Gerhard</t>
  </si>
  <si>
    <t>krank</t>
  </si>
  <si>
    <t>09.89</t>
  </si>
  <si>
    <t>Erlangen</t>
  </si>
  <si>
    <t>verletzt</t>
  </si>
  <si>
    <r>
      <t xml:space="preserve">Tonkovic, Ljubica </t>
    </r>
    <r>
      <rPr>
        <b/>
        <sz val="10"/>
        <rFont val="Arial"/>
        <family val="2"/>
      </rPr>
      <t>*)</t>
    </r>
  </si>
  <si>
    <r>
      <t>*)</t>
    </r>
    <r>
      <rPr>
        <sz val="10"/>
        <rFont val="Arial"/>
        <family val="2"/>
      </rPr>
      <t xml:space="preserve"> kann Bezirksmeisterschaft nicht spielen !</t>
    </r>
  </si>
  <si>
    <t>Neidhardt Sabine</t>
  </si>
  <si>
    <t>03.75</t>
  </si>
  <si>
    <t>Scheer Heike</t>
  </si>
  <si>
    <t>Schachtner Christine</t>
  </si>
  <si>
    <t>05.64</t>
  </si>
  <si>
    <t>Frei !</t>
  </si>
  <si>
    <t>Urlaub</t>
  </si>
  <si>
    <t>Igel, Alfons</t>
  </si>
  <si>
    <t>07.53</t>
  </si>
  <si>
    <t>Schraudner, Werner  *)</t>
  </si>
  <si>
    <t>*) Abbruch wg. Verletzung</t>
  </si>
  <si>
    <t>B  -  J u g e n d       ( 01.07.1998 - 30.06.2003 )</t>
  </si>
  <si>
    <r>
      <t>B - Jugend männlich</t>
    </r>
    <r>
      <rPr>
        <sz val="10"/>
        <rFont val="Arial"/>
        <family val="0"/>
      </rPr>
      <t xml:space="preserve"> ---&gt;    Vorlauf: Bahn 1+2   6 Starter  /   Endlauf: </t>
    </r>
    <r>
      <rPr>
        <b/>
        <sz val="10"/>
        <rFont val="Arial"/>
        <family val="2"/>
      </rPr>
      <t>11.40</t>
    </r>
    <r>
      <rPr>
        <sz val="10"/>
        <rFont val="Arial"/>
        <family val="0"/>
      </rPr>
      <t xml:space="preserve"> Uhr Bahn 3+4   6 Starter</t>
    </r>
  </si>
  <si>
    <r>
      <t xml:space="preserve">Titelverteidiger :  </t>
    </r>
    <r>
      <rPr>
        <b/>
        <sz val="10"/>
        <rFont val="MS Sans Serif"/>
        <family val="2"/>
      </rPr>
      <t>S e i t z , Jan</t>
    </r>
    <r>
      <rPr>
        <sz val="10"/>
        <rFont val="MS Sans Serif"/>
        <family val="2"/>
      </rPr>
      <t xml:space="preserve">      S K V  R ö t t e n b a c h    </t>
    </r>
    <r>
      <rPr>
        <b/>
        <sz val="10"/>
        <rFont val="MS Sans Serif"/>
        <family val="2"/>
      </rPr>
      <t>7 7 9</t>
    </r>
    <r>
      <rPr>
        <sz val="10"/>
        <rFont val="MS Sans Serif"/>
        <family val="2"/>
      </rPr>
      <t xml:space="preserve">  Kegel</t>
    </r>
  </si>
  <si>
    <r>
      <t>B - Jugend weiblich</t>
    </r>
    <r>
      <rPr>
        <sz val="10"/>
        <rFont val="Arial"/>
        <family val="0"/>
      </rPr>
      <t xml:space="preserve"> ---&gt;    Vorlauf: Bahn 1+2   3 Starter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Bahn 3+4   3 Starter</t>
    </r>
  </si>
  <si>
    <r>
      <t xml:space="preserve">Titelverteidiger:  </t>
    </r>
    <r>
      <rPr>
        <b/>
        <sz val="10"/>
        <rFont val="MS Sans Serif"/>
        <family val="2"/>
      </rPr>
      <t>O p p e l t , Larissa</t>
    </r>
    <r>
      <rPr>
        <sz val="10"/>
        <rFont val="MS Sans Serif"/>
        <family val="2"/>
      </rPr>
      <t xml:space="preserve">     T S V  N e u h a u s    </t>
    </r>
    <r>
      <rPr>
        <b/>
        <sz val="10"/>
        <rFont val="MS Sans Serif"/>
        <family val="2"/>
      </rPr>
      <t>6 3 6</t>
    </r>
    <r>
      <rPr>
        <sz val="10"/>
        <rFont val="MS Sans Serif"/>
        <family val="2"/>
      </rPr>
      <t xml:space="preserve">  Kegel</t>
    </r>
  </si>
  <si>
    <t>U 1 4    m ä n n l i c h</t>
  </si>
  <si>
    <t>Sauer, Sandro</t>
  </si>
  <si>
    <t>12.00</t>
  </si>
  <si>
    <t>Lechner, Matthias</t>
  </si>
  <si>
    <t>09.99</t>
  </si>
  <si>
    <t>Giudilli Alessandro</t>
  </si>
  <si>
    <t>04.99</t>
  </si>
  <si>
    <t>Hemhofen 3</t>
  </si>
  <si>
    <t>Römer, Leon</t>
  </si>
  <si>
    <t>06.99</t>
  </si>
  <si>
    <t>Röttenbach 3</t>
  </si>
  <si>
    <t>Scherrer Marcel *</t>
  </si>
  <si>
    <t>11.98</t>
  </si>
  <si>
    <t>Gotthardt Tobias **</t>
  </si>
  <si>
    <t>U 1 4    w e i b l i c h</t>
  </si>
  <si>
    <t>Oppelt, Larissa</t>
  </si>
  <si>
    <t>05.00</t>
  </si>
  <si>
    <t>Schminke, Vivien</t>
  </si>
  <si>
    <t>09.00</t>
  </si>
  <si>
    <t>Geier, Lina</t>
  </si>
  <si>
    <t>04.00</t>
  </si>
  <si>
    <t>* Scherrer Marcel Abbruch im Endlauf wegen Verletzung</t>
  </si>
  <si>
    <t>** Gotthardt Tobias Abbruch im Vorlauf wegen Verletzung</t>
  </si>
  <si>
    <t>Teilnehmer an der Bezirksmeisterschaften 2013:   U14 männlich   Platz 1 - 5</t>
  </si>
  <si>
    <t>Teilnehmer an der Bezirksmeisterschaften 2013:   U14 weiblich  Platz 1 - 4</t>
  </si>
  <si>
    <r>
      <t xml:space="preserve">am  </t>
    </r>
    <r>
      <rPr>
        <b/>
        <sz val="10"/>
        <rFont val="Arial"/>
        <family val="2"/>
      </rPr>
      <t xml:space="preserve">13. /  14. 04. 2013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 xml:space="preserve">KV Rothenburg </t>
    </r>
  </si>
  <si>
    <t>Kreismeisterschaft 2013  -  T S V   N e u h a u s</t>
  </si>
  <si>
    <t>A  -  J u g e n d           ( 01.07.1994 - 30.06.1998 )</t>
  </si>
  <si>
    <t>26.  /  27.  Januar  2013</t>
  </si>
  <si>
    <r>
      <t>A-Jugend männlich</t>
    </r>
    <r>
      <rPr>
        <sz val="10"/>
        <rFont val="Arial"/>
        <family val="0"/>
      </rPr>
      <t xml:space="preserve">:  Vorlauf:  Bahn 3+4   11 Starter   /   Endlauf: </t>
    </r>
    <r>
      <rPr>
        <b/>
        <sz val="10"/>
        <rFont val="Arial"/>
        <family val="2"/>
      </rPr>
      <t>12.30</t>
    </r>
    <r>
      <rPr>
        <sz val="10"/>
        <rFont val="Arial"/>
        <family val="0"/>
      </rPr>
      <t xml:space="preserve"> Uhr Bahn 1+2   10 Starter</t>
    </r>
  </si>
  <si>
    <r>
      <t xml:space="preserve">Titelverteidiger :  </t>
    </r>
    <r>
      <rPr>
        <b/>
        <sz val="11"/>
        <rFont val="Arial"/>
        <family val="2"/>
      </rPr>
      <t>G ö t z, Fabian</t>
    </r>
    <r>
      <rPr>
        <sz val="11"/>
        <rFont val="Arial"/>
        <family val="2"/>
      </rPr>
      <t xml:space="preserve">    G H  H ö c h s t a d t      </t>
    </r>
    <r>
      <rPr>
        <b/>
        <sz val="11"/>
        <rFont val="Arial"/>
        <family val="2"/>
      </rPr>
      <t>8 5 2</t>
    </r>
    <r>
      <rPr>
        <sz val="11"/>
        <rFont val="Arial"/>
        <family val="2"/>
      </rPr>
      <t xml:space="preserve">  Kegel</t>
    </r>
  </si>
  <si>
    <r>
      <t>A-Jugend weiblich</t>
    </r>
    <r>
      <rPr>
        <sz val="10"/>
        <rFont val="Arial"/>
        <family val="0"/>
      </rPr>
      <t xml:space="preserve">:  Vorlauf:  Bahn 3+4   3 Starter 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Bahn 1+2  3 Starter</t>
    </r>
  </si>
  <si>
    <r>
      <t xml:space="preserve">Titelverteidiger :  </t>
    </r>
    <r>
      <rPr>
        <b/>
        <sz val="11"/>
        <rFont val="Arial"/>
        <family val="2"/>
      </rPr>
      <t>H o f m a n n ,  Carina</t>
    </r>
    <r>
      <rPr>
        <sz val="11"/>
        <rFont val="Arial"/>
        <family val="2"/>
      </rPr>
      <t xml:space="preserve">     S C  A d e l s d o r f     </t>
    </r>
    <r>
      <rPr>
        <b/>
        <sz val="11"/>
        <rFont val="Arial"/>
        <family val="2"/>
      </rPr>
      <t xml:space="preserve">7 4 9 </t>
    </r>
    <r>
      <rPr>
        <sz val="11"/>
        <rFont val="Arial"/>
        <family val="2"/>
      </rPr>
      <t xml:space="preserve"> Kegel</t>
    </r>
  </si>
  <si>
    <t>U 1 8    m ä n n l i c h</t>
  </si>
  <si>
    <t>Häfner, Daniel</t>
  </si>
  <si>
    <t>11.97</t>
  </si>
  <si>
    <t>Beck, Niko</t>
  </si>
  <si>
    <t>12.97</t>
  </si>
  <si>
    <t>Götz, Fabian</t>
  </si>
  <si>
    <t>10.95</t>
  </si>
  <si>
    <t>Seitz, Jan</t>
  </si>
  <si>
    <t>01.98</t>
  </si>
  <si>
    <t>Bögelein, Marcel</t>
  </si>
  <si>
    <t>04.95</t>
  </si>
  <si>
    <t>Ramming, Florian</t>
  </si>
  <si>
    <t>08.97</t>
  </si>
  <si>
    <t>Oppelt, Dominik</t>
  </si>
  <si>
    <t>05.97</t>
  </si>
  <si>
    <t>Vornberger, Patrick</t>
  </si>
  <si>
    <t>04.96</t>
  </si>
  <si>
    <t>Eibert, Julian</t>
  </si>
  <si>
    <t>03.95</t>
  </si>
  <si>
    <t>Scheffler, Fabian  *</t>
  </si>
  <si>
    <t>Dresel, Jonas</t>
  </si>
  <si>
    <t>06.97</t>
  </si>
  <si>
    <t>Höchstadt 3</t>
  </si>
  <si>
    <t>Krank</t>
  </si>
  <si>
    <t>U 1 8    w e i b l i c h</t>
  </si>
  <si>
    <t>Fuchs, Heike</t>
  </si>
  <si>
    <t>09.95</t>
  </si>
  <si>
    <t>Hofmann, Carina</t>
  </si>
  <si>
    <t>Dollinger, Bianca</t>
  </si>
  <si>
    <t>05.96</t>
  </si>
  <si>
    <t>*  Scheffler Fabian Endlauf abgesagt</t>
  </si>
  <si>
    <t>Teilnehmer an der Bezirksmeisterschaften 2013:   U18 männlich  Platz 1 - 3</t>
  </si>
  <si>
    <t>Teilnehmer an der Bezirksmeisterschaften 2013:   U18 weiblich  Platz 1 - 3</t>
  </si>
  <si>
    <r>
      <t xml:space="preserve">am  </t>
    </r>
    <r>
      <rPr>
        <b/>
        <sz val="10"/>
        <rFont val="Arial"/>
        <family val="2"/>
      </rPr>
      <t xml:space="preserve">13. /  14. 04. 2013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>ESV Ansbach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</si>
</sst>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mmm\ yyyy"/>
    <numFmt numFmtId="193" formatCode="mm\ yy"/>
    <numFmt numFmtId="194" formatCode="dd/mm/yy;@"/>
    <numFmt numFmtId="195" formatCode="[$€-2]\ #,##0.00_);[Red]\([$€-2]\ #,##0.00\)"/>
    <numFmt numFmtId="196" formatCode="dd/mm/yy"/>
  </numFmts>
  <fonts count="60">
    <font>
      <sz val="10"/>
      <name val="Arial"/>
      <family val="0"/>
    </font>
    <font>
      <b/>
      <sz val="12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MS Sans Serif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10"/>
      <color indexed="12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u val="single"/>
      <sz val="10"/>
      <name val="Arial"/>
      <family val="2"/>
    </font>
    <font>
      <sz val="12"/>
      <name val="MS Sans Serif"/>
      <family val="0"/>
    </font>
    <font>
      <sz val="10"/>
      <color indexed="8"/>
      <name val="Arial"/>
      <family val="2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1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/>
      <right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88" fontId="0" fillId="0" borderId="10" xfId="0" applyNumberFormat="1" applyFont="1" applyFill="1" applyBorder="1" applyAlignment="1" applyProtection="1">
      <alignment/>
      <protection locked="0"/>
    </xf>
    <xf numFmtId="188" fontId="7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14" xfId="0" applyNumberFormat="1" applyFont="1" applyFill="1" applyBorder="1" applyAlignment="1" applyProtection="1">
      <alignment/>
      <protection locked="0"/>
    </xf>
    <xf numFmtId="188" fontId="7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8" fontId="0" fillId="0" borderId="16" xfId="0" applyNumberFormat="1" applyFont="1" applyFill="1" applyBorder="1" applyAlignment="1" applyProtection="1">
      <alignment/>
      <protection locked="0"/>
    </xf>
    <xf numFmtId="188" fontId="7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quotePrefix="1">
      <alignment horizontal="center"/>
    </xf>
    <xf numFmtId="188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88" fontId="0" fillId="0" borderId="17" xfId="0" applyNumberFormat="1" applyFont="1" applyFill="1" applyBorder="1" applyAlignment="1" applyProtection="1">
      <alignment/>
      <protection locked="0"/>
    </xf>
    <xf numFmtId="188" fontId="7" fillId="0" borderId="17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 quotePrefix="1">
      <alignment/>
    </xf>
    <xf numFmtId="188" fontId="0" fillId="0" borderId="0" xfId="0" applyNumberFormat="1" applyFont="1" applyFill="1" applyBorder="1" applyAlignment="1" applyProtection="1">
      <alignment/>
      <protection/>
    </xf>
    <xf numFmtId="0" fontId="0" fillId="32" borderId="16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6" xfId="0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2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2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22" fillId="0" borderId="0" xfId="0" applyFont="1" applyAlignment="1">
      <alignment horizontal="centerContinuous"/>
    </xf>
    <xf numFmtId="17" fontId="0" fillId="0" borderId="16" xfId="0" applyNumberFormat="1" applyFont="1" applyFill="1" applyBorder="1" applyAlignment="1" applyProtection="1" quotePrefix="1">
      <alignment/>
      <protection locked="0"/>
    </xf>
    <xf numFmtId="0" fontId="3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5" xfId="0" applyFont="1" applyFill="1" applyBorder="1" applyAlignment="1" applyProtection="1" quotePrefix="1">
      <alignment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0" fillId="0" borderId="15" xfId="0" applyFont="1" applyFill="1" applyBorder="1" applyAlignment="1" applyProtection="1" quotePrefix="1">
      <alignment/>
      <protection locked="0"/>
    </xf>
    <xf numFmtId="0" fontId="3" fillId="0" borderId="16" xfId="0" applyFont="1" applyFill="1" applyBorder="1" applyAlignment="1">
      <alignment horizontal="center"/>
    </xf>
    <xf numFmtId="0" fontId="0" fillId="0" borderId="15" xfId="0" applyFont="1" applyFill="1" applyBorder="1" applyAlignment="1" applyProtection="1" quotePrefix="1">
      <alignment horizontal="center"/>
      <protection locked="0"/>
    </xf>
    <xf numFmtId="20" fontId="0" fillId="0" borderId="15" xfId="0" applyNumberFormat="1" applyFont="1" applyBorder="1" applyAlignment="1" applyProtection="1" quotePrefix="1">
      <alignment horizontal="center"/>
      <protection locked="0"/>
    </xf>
    <xf numFmtId="20" fontId="0" fillId="0" borderId="14" xfId="0" applyNumberFormat="1" applyFont="1" applyBorder="1" applyAlignment="1" applyProtection="1" quotePrefix="1">
      <alignment horizontal="center"/>
      <protection locked="0"/>
    </xf>
    <xf numFmtId="17" fontId="0" fillId="0" borderId="15" xfId="0" applyNumberFormat="1" applyFont="1" applyFill="1" applyBorder="1" applyAlignment="1" applyProtection="1" quotePrefix="1">
      <alignment horizontal="center"/>
      <protection locked="0"/>
    </xf>
    <xf numFmtId="17" fontId="0" fillId="0" borderId="14" xfId="0" applyNumberFormat="1" applyFont="1" applyBorder="1" applyAlignment="1" applyProtection="1" quotePrefix="1">
      <alignment horizontal="center"/>
      <protection locked="0"/>
    </xf>
    <xf numFmtId="17" fontId="0" fillId="0" borderId="14" xfId="0" applyNumberFormat="1" applyFont="1" applyFill="1" applyBorder="1" applyAlignment="1" applyProtection="1" quotePrefix="1">
      <alignment horizontal="center"/>
      <protection locked="0"/>
    </xf>
    <xf numFmtId="17" fontId="0" fillId="0" borderId="18" xfId="0" applyNumberFormat="1" applyFont="1" applyFill="1" applyBorder="1" applyAlignment="1" applyProtection="1" quotePrefix="1">
      <alignment horizontal="center"/>
      <protection locked="0"/>
    </xf>
    <xf numFmtId="17" fontId="0" fillId="0" borderId="14" xfId="0" applyNumberFormat="1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 applyProtection="1" quotePrefix="1">
      <alignment/>
      <protection locked="0"/>
    </xf>
    <xf numFmtId="17" fontId="0" fillId="0" borderId="14" xfId="0" applyNumberFormat="1" applyFont="1" applyFill="1" applyBorder="1" applyAlignment="1" applyProtection="1" quotePrefix="1">
      <alignment/>
      <protection locked="0"/>
    </xf>
    <xf numFmtId="0" fontId="7" fillId="0" borderId="22" xfId="0" applyFont="1" applyFill="1" applyBorder="1" applyAlignment="1" applyProtection="1" quotePrefix="1">
      <alignment horizontal="center"/>
      <protection locked="0"/>
    </xf>
    <xf numFmtId="17" fontId="0" fillId="0" borderId="10" xfId="0" applyNumberForma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1" xfId="0" applyNumberFormat="1" applyFont="1" applyBorder="1" applyAlignment="1">
      <alignment/>
    </xf>
    <xf numFmtId="20" fontId="0" fillId="0" borderId="14" xfId="0" applyNumberFormat="1" applyFont="1" applyFill="1" applyBorder="1" applyAlignment="1" applyProtection="1" quotePrefix="1">
      <alignment horizontal="center"/>
      <protection locked="0"/>
    </xf>
    <xf numFmtId="17" fontId="0" fillId="0" borderId="15" xfId="0" applyNumberFormat="1" applyFont="1" applyFill="1" applyBorder="1" applyAlignment="1" quotePrefix="1">
      <alignment horizontal="center"/>
    </xf>
    <xf numFmtId="20" fontId="0" fillId="0" borderId="16" xfId="0" applyNumberFormat="1" applyFont="1" applyBorder="1" applyAlignment="1" applyProtection="1" quotePrefix="1">
      <alignment horizontal="center"/>
      <protection locked="0"/>
    </xf>
    <xf numFmtId="17" fontId="0" fillId="0" borderId="14" xfId="0" applyNumberFormat="1" applyFont="1" applyFill="1" applyBorder="1" applyAlignment="1" applyProtection="1" quotePrefix="1">
      <alignment horizontal="center"/>
      <protection locked="0"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17" fontId="0" fillId="0" borderId="10" xfId="0" applyNumberFormat="1" applyFont="1" applyBorder="1" applyAlignment="1" applyProtection="1" quotePrefix="1">
      <alignment horizontal="center"/>
      <protection locked="0"/>
    </xf>
    <xf numFmtId="0" fontId="0" fillId="0" borderId="10" xfId="0" applyBorder="1" applyAlignment="1">
      <alignment/>
    </xf>
    <xf numFmtId="0" fontId="8" fillId="34" borderId="2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17" fontId="0" fillId="34" borderId="10" xfId="0" applyNumberFormat="1" applyFont="1" applyFill="1" applyBorder="1" applyAlignment="1" quotePrefix="1">
      <alignment horizontal="center"/>
    </xf>
    <xf numFmtId="188" fontId="0" fillId="34" borderId="10" xfId="0" applyNumberFormat="1" applyFont="1" applyFill="1" applyBorder="1" applyAlignment="1" applyProtection="1">
      <alignment/>
      <protection locked="0"/>
    </xf>
    <xf numFmtId="188" fontId="7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17" fontId="0" fillId="0" borderId="15" xfId="0" applyNumberFormat="1" applyFont="1" applyBorder="1" applyAlignment="1" applyProtection="1" quotePrefix="1">
      <alignment horizontal="center"/>
      <protection locked="0"/>
    </xf>
    <xf numFmtId="0" fontId="0" fillId="34" borderId="16" xfId="0" applyFont="1" applyFill="1" applyBorder="1" applyAlignment="1" quotePrefix="1">
      <alignment horizontal="center"/>
    </xf>
    <xf numFmtId="188" fontId="0" fillId="34" borderId="16" xfId="0" applyNumberFormat="1" applyFont="1" applyFill="1" applyBorder="1" applyAlignment="1" applyProtection="1">
      <alignment/>
      <protection locked="0"/>
    </xf>
    <xf numFmtId="188" fontId="7" fillId="34" borderId="16" xfId="0" applyNumberFormat="1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17" fontId="0" fillId="34" borderId="17" xfId="0" applyNumberFormat="1" applyFont="1" applyFill="1" applyBorder="1" applyAlignment="1" quotePrefix="1">
      <alignment horizontal="center"/>
    </xf>
    <xf numFmtId="188" fontId="0" fillId="34" borderId="17" xfId="0" applyNumberFormat="1" applyFont="1" applyFill="1" applyBorder="1" applyAlignment="1" applyProtection="1">
      <alignment/>
      <protection locked="0"/>
    </xf>
    <xf numFmtId="188" fontId="7" fillId="34" borderId="17" xfId="0" applyNumberFormat="1" applyFont="1" applyFill="1" applyBorder="1" applyAlignment="1" applyProtection="1">
      <alignment horizontal="center"/>
      <protection/>
    </xf>
    <xf numFmtId="0" fontId="0" fillId="34" borderId="28" xfId="0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" fontId="0" fillId="0" borderId="15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" fontId="0" fillId="0" borderId="14" xfId="0" applyNumberFormat="1" applyFill="1" applyBorder="1" applyAlignment="1" quotePrefix="1">
      <alignment horizontal="center"/>
    </xf>
    <xf numFmtId="0" fontId="0" fillId="0" borderId="15" xfId="0" applyFont="1" applyFill="1" applyBorder="1" applyAlignment="1" applyProtection="1">
      <alignment horizontal="center"/>
      <protection locked="0"/>
    </xf>
    <xf numFmtId="17" fontId="0" fillId="0" borderId="22" xfId="0" applyNumberFormat="1" applyFont="1" applyBorder="1" applyAlignment="1" applyProtection="1" quotePrefix="1">
      <alignment horizontal="center"/>
      <protection locked="0"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/>
    </xf>
    <xf numFmtId="17" fontId="0" fillId="0" borderId="15" xfId="0" applyNumberFormat="1" applyFont="1" applyFill="1" applyBorder="1" applyAlignment="1" applyProtection="1" quotePrefix="1">
      <alignment horizontal="center"/>
      <protection locked="0"/>
    </xf>
    <xf numFmtId="0" fontId="0" fillId="0" borderId="14" xfId="0" applyFont="1" applyFill="1" applyBorder="1" applyAlignment="1" quotePrefix="1">
      <alignment horizontal="center"/>
    </xf>
    <xf numFmtId="20" fontId="0" fillId="0" borderId="15" xfId="0" applyNumberFormat="1" applyFont="1" applyFill="1" applyBorder="1" applyAlignment="1" applyProtection="1" quotePrefix="1">
      <alignment horizontal="center"/>
      <protection locked="0"/>
    </xf>
    <xf numFmtId="20" fontId="0" fillId="0" borderId="15" xfId="0" applyNumberFormat="1" applyFont="1" applyFill="1" applyBorder="1" applyAlignment="1" applyProtection="1" quotePrefix="1">
      <alignment horizontal="center"/>
      <protection locked="0"/>
    </xf>
    <xf numFmtId="0" fontId="7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8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 quotePrefix="1">
      <alignment/>
      <protection locked="0"/>
    </xf>
    <xf numFmtId="188" fontId="0" fillId="0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188" fontId="0" fillId="34" borderId="14" xfId="0" applyNumberFormat="1" applyFont="1" applyFill="1" applyBorder="1" applyAlignment="1" applyProtection="1">
      <alignment/>
      <protection locked="0"/>
    </xf>
    <xf numFmtId="0" fontId="0" fillId="34" borderId="17" xfId="0" applyFont="1" applyFill="1" applyBorder="1" applyAlignment="1" quotePrefix="1">
      <alignment horizontal="center"/>
    </xf>
    <xf numFmtId="0" fontId="3" fillId="34" borderId="17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34" borderId="16" xfId="0" applyFont="1" applyFill="1" applyBorder="1" applyAlignment="1" applyProtection="1" quotePrefix="1">
      <alignment/>
      <protection locked="0"/>
    </xf>
    <xf numFmtId="0" fontId="0" fillId="34" borderId="35" xfId="0" applyFont="1" applyFill="1" applyBorder="1" applyAlignment="1" quotePrefix="1">
      <alignment horizontal="center"/>
    </xf>
    <xf numFmtId="188" fontId="0" fillId="34" borderId="10" xfId="0" applyNumberFormat="1" applyFont="1" applyFill="1" applyBorder="1" applyAlignment="1" applyProtection="1">
      <alignment horizontal="center"/>
      <protection locked="0"/>
    </xf>
    <xf numFmtId="17" fontId="0" fillId="34" borderId="15" xfId="0" applyNumberFormat="1" applyFont="1" applyFill="1" applyBorder="1" applyAlignment="1" applyProtection="1" quotePrefix="1">
      <alignment/>
      <protection locked="0"/>
    </xf>
    <xf numFmtId="188" fontId="0" fillId="34" borderId="16" xfId="0" applyNumberFormat="1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 quotePrefix="1">
      <alignment/>
      <protection locked="0"/>
    </xf>
    <xf numFmtId="0" fontId="0" fillId="34" borderId="10" xfId="0" applyFont="1" applyFill="1" applyBorder="1" applyAlignment="1" quotePrefix="1">
      <alignment horizontal="center"/>
    </xf>
    <xf numFmtId="0" fontId="0" fillId="34" borderId="14" xfId="0" applyFont="1" applyFill="1" applyBorder="1" applyAlignment="1" applyProtection="1" quotePrefix="1">
      <alignment/>
      <protection locked="0"/>
    </xf>
    <xf numFmtId="188" fontId="0" fillId="34" borderId="14" xfId="0" applyNumberFormat="1" applyFont="1" applyFill="1" applyBorder="1" applyAlignment="1" applyProtection="1">
      <alignment horizontal="center"/>
      <protection locked="0"/>
    </xf>
    <xf numFmtId="188" fontId="7" fillId="34" borderId="14" xfId="0" applyNumberFormat="1" applyFont="1" applyFill="1" applyBorder="1" applyAlignment="1" applyProtection="1">
      <alignment horizontal="center"/>
      <protection/>
    </xf>
    <xf numFmtId="17" fontId="0" fillId="34" borderId="16" xfId="0" applyNumberFormat="1" applyFont="1" applyFill="1" applyBorder="1" applyAlignment="1" quotePrefix="1">
      <alignment horizontal="center"/>
    </xf>
    <xf numFmtId="0" fontId="0" fillId="34" borderId="15" xfId="0" applyFont="1" applyFill="1" applyBorder="1" applyAlignment="1" applyProtection="1" quotePrefix="1">
      <alignment/>
      <protection locked="0"/>
    </xf>
    <xf numFmtId="14" fontId="0" fillId="34" borderId="16" xfId="0" applyNumberFormat="1" applyFill="1" applyBorder="1" applyAlignment="1" quotePrefix="1">
      <alignment horizontal="center"/>
    </xf>
    <xf numFmtId="17" fontId="0" fillId="34" borderId="22" xfId="0" applyNumberFormat="1" applyFont="1" applyFill="1" applyBorder="1" applyAlignment="1" applyProtection="1" quotePrefix="1">
      <alignment/>
      <protection locked="0"/>
    </xf>
    <xf numFmtId="188" fontId="0" fillId="34" borderId="17" xfId="0" applyNumberFormat="1" applyFont="1" applyFill="1" applyBorder="1" applyAlignment="1" applyProtection="1">
      <alignment horizontal="center"/>
      <protection locked="0"/>
    </xf>
    <xf numFmtId="17" fontId="0" fillId="0" borderId="23" xfId="0" applyNumberFormat="1" applyFont="1" applyFill="1" applyBorder="1" applyAlignment="1" applyProtection="1" quotePrefix="1">
      <alignment/>
      <protection locked="0"/>
    </xf>
    <xf numFmtId="0" fontId="0" fillId="0" borderId="23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7" fillId="34" borderId="15" xfId="0" applyFont="1" applyFill="1" applyBorder="1" applyAlignment="1">
      <alignment horizontal="right"/>
    </xf>
    <xf numFmtId="0" fontId="7" fillId="34" borderId="14" xfId="0" applyFont="1" applyFill="1" applyBorder="1" applyAlignment="1">
      <alignment horizontal="right"/>
    </xf>
    <xf numFmtId="0" fontId="7" fillId="34" borderId="22" xfId="0" applyFont="1" applyFill="1" applyBorder="1" applyAlignment="1">
      <alignment horizontal="right"/>
    </xf>
    <xf numFmtId="0" fontId="7" fillId="34" borderId="3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0" fontId="0" fillId="34" borderId="1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20" fontId="0" fillId="36" borderId="10" xfId="0" applyNumberFormat="1" applyFont="1" applyFill="1" applyBorder="1" applyAlignment="1" applyProtection="1" quotePrefix="1">
      <alignment horizontal="center"/>
      <protection locked="0"/>
    </xf>
    <xf numFmtId="0" fontId="0" fillId="36" borderId="10" xfId="0" applyFont="1" applyFill="1" applyBorder="1" applyAlignment="1" quotePrefix="1">
      <alignment horizontal="center"/>
    </xf>
    <xf numFmtId="0" fontId="3" fillId="36" borderId="10" xfId="0" applyFont="1" applyFill="1" applyBorder="1" applyAlignment="1">
      <alignment horizontal="center"/>
    </xf>
    <xf numFmtId="188" fontId="0" fillId="36" borderId="10" xfId="0" applyNumberFormat="1" applyFont="1" applyFill="1" applyBorder="1" applyAlignment="1" applyProtection="1">
      <alignment/>
      <protection locked="0"/>
    </xf>
    <xf numFmtId="188" fontId="7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Font="1" applyFill="1" applyBorder="1" applyAlignment="1">
      <alignment/>
    </xf>
    <xf numFmtId="17" fontId="0" fillId="34" borderId="10" xfId="0" applyNumberFormat="1" applyFont="1" applyFill="1" applyBorder="1" applyAlignment="1" applyProtection="1" quotePrefix="1">
      <alignment horizontal="center"/>
      <protection locked="0"/>
    </xf>
    <xf numFmtId="20" fontId="0" fillId="34" borderId="10" xfId="0" applyNumberFormat="1" applyFont="1" applyFill="1" applyBorder="1" applyAlignment="1" applyProtection="1" quotePrefix="1">
      <alignment horizontal="center"/>
      <protection locked="0"/>
    </xf>
    <xf numFmtId="20" fontId="0" fillId="34" borderId="10" xfId="0" applyNumberFormat="1" applyFont="1" applyFill="1" applyBorder="1" applyAlignment="1" applyProtection="1" quotePrefix="1">
      <alignment horizontal="center"/>
      <protection locked="0"/>
    </xf>
    <xf numFmtId="20" fontId="0" fillId="36" borderId="10" xfId="0" applyNumberFormat="1" applyFont="1" applyFill="1" applyBorder="1" applyAlignment="1" applyProtection="1" quotePrefix="1">
      <alignment horizontal="center"/>
      <protection locked="0"/>
    </xf>
    <xf numFmtId="17" fontId="0" fillId="36" borderId="10" xfId="0" applyNumberFormat="1" applyFont="1" applyFill="1" applyBorder="1" applyAlignment="1" quotePrefix="1">
      <alignment horizontal="center"/>
    </xf>
    <xf numFmtId="17" fontId="0" fillId="36" borderId="10" xfId="0" applyNumberFormat="1" applyFont="1" applyFill="1" applyBorder="1" applyAlignment="1" applyProtection="1" quotePrefix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horizontal="center"/>
      <protection locked="0"/>
    </xf>
    <xf numFmtId="0" fontId="7" fillId="0" borderId="10" xfId="0" applyFont="1" applyBorder="1" applyAlignment="1">
      <alignment/>
    </xf>
    <xf numFmtId="17" fontId="0" fillId="0" borderId="10" xfId="0" applyNumberFormat="1" applyFont="1" applyFill="1" applyBorder="1" applyAlignment="1" applyProtection="1" quotePrefix="1">
      <alignment horizontal="center"/>
      <protection locked="0"/>
    </xf>
    <xf numFmtId="20" fontId="0" fillId="0" borderId="10" xfId="0" applyNumberFormat="1" applyFont="1" applyFill="1" applyBorder="1" applyAlignment="1" applyProtection="1" quotePrefix="1">
      <alignment horizontal="center"/>
      <protection locked="0"/>
    </xf>
    <xf numFmtId="20" fontId="0" fillId="0" borderId="10" xfId="0" applyNumberFormat="1" applyFont="1" applyFill="1" applyBorder="1" applyAlignment="1" applyProtection="1" quotePrefix="1">
      <alignment horizontal="center"/>
      <protection locked="0"/>
    </xf>
    <xf numFmtId="17" fontId="0" fillId="0" borderId="10" xfId="0" applyNumberFormat="1" applyFont="1" applyFill="1" applyBorder="1" applyAlignment="1" applyProtection="1" quotePrefix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188" fontId="0" fillId="0" borderId="0" xfId="0" applyNumberFormat="1" applyFont="1" applyFill="1" applyBorder="1" applyAlignment="1" applyProtection="1">
      <alignment/>
      <protection locked="0"/>
    </xf>
    <xf numFmtId="17" fontId="0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/>
      <protection locked="0"/>
    </xf>
    <xf numFmtId="17" fontId="0" fillId="36" borderId="10" xfId="0" applyNumberFormat="1" applyFont="1" applyFill="1" applyBorder="1" applyAlignment="1" applyProtection="1" quotePrefix="1">
      <alignment horizontal="center"/>
      <protection locked="0"/>
    </xf>
    <xf numFmtId="0" fontId="0" fillId="36" borderId="10" xfId="0" applyFill="1" applyBorder="1" applyAlignment="1">
      <alignment/>
    </xf>
    <xf numFmtId="20" fontId="0" fillId="0" borderId="10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Border="1" applyAlignment="1">
      <alignment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 quotePrefix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17" fontId="0" fillId="0" borderId="10" xfId="0" applyNumberFormat="1" applyFont="1" applyBorder="1" applyAlignment="1" applyProtection="1">
      <alignment horizontal="center"/>
      <protection locked="0"/>
    </xf>
    <xf numFmtId="49" fontId="23" fillId="0" borderId="10" xfId="59" applyNumberFormat="1" applyFont="1" applyFill="1" applyBorder="1" applyAlignment="1" applyProtection="1">
      <alignment horizontal="left"/>
      <protection/>
    </xf>
    <xf numFmtId="196" fontId="0" fillId="0" borderId="10" xfId="0" applyNumberFormat="1" applyFont="1" applyFill="1" applyBorder="1" applyAlignment="1" quotePrefix="1">
      <alignment horizontal="center"/>
    </xf>
    <xf numFmtId="49" fontId="0" fillId="34" borderId="15" xfId="0" applyNumberFormat="1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quotePrefix="1">
      <alignment horizontal="center"/>
    </xf>
    <xf numFmtId="49" fontId="0" fillId="34" borderId="14" xfId="0" applyNumberFormat="1" applyFont="1" applyFill="1" applyBorder="1" applyAlignment="1" applyProtection="1" quotePrefix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9" fontId="0" fillId="0" borderId="15" xfId="0" applyNumberFormat="1" applyFont="1" applyBorder="1" applyAlignment="1" applyProtection="1">
      <alignment horizontal="center"/>
      <protection locked="0"/>
    </xf>
    <xf numFmtId="17" fontId="0" fillId="0" borderId="36" xfId="0" applyNumberFormat="1" applyFont="1" applyFill="1" applyBorder="1" applyAlignment="1" quotePrefix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24" fillId="0" borderId="10" xfId="59" applyNumberFormat="1" applyFont="1" applyFill="1" applyBorder="1" applyAlignment="1" applyProtection="1">
      <alignment horizontal="left"/>
      <protection/>
    </xf>
    <xf numFmtId="20" fontId="0" fillId="0" borderId="16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 quotePrefix="1">
      <alignment horizontal="center"/>
      <protection locked="0"/>
    </xf>
    <xf numFmtId="0" fontId="7" fillId="0" borderId="37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0" fontId="0" fillId="0" borderId="38" xfId="0" applyFont="1" applyFill="1" applyBorder="1" applyAlignment="1">
      <alignment/>
    </xf>
    <xf numFmtId="20" fontId="0" fillId="0" borderId="18" xfId="0" applyNumberFormat="1" applyFont="1" applyFill="1" applyBorder="1" applyAlignment="1" applyProtection="1" quotePrefix="1">
      <alignment horizontal="center"/>
      <protection locked="0"/>
    </xf>
    <xf numFmtId="17" fontId="0" fillId="34" borderId="16" xfId="0" applyNumberFormat="1" applyFont="1" applyFill="1" applyBorder="1" applyAlignment="1" applyProtection="1" quotePrefix="1">
      <alignment/>
      <protection locked="0"/>
    </xf>
    <xf numFmtId="0" fontId="7" fillId="34" borderId="22" xfId="0" applyFont="1" applyFill="1" applyBorder="1" applyAlignment="1">
      <alignment/>
    </xf>
    <xf numFmtId="0" fontId="0" fillId="34" borderId="22" xfId="0" applyFont="1" applyFill="1" applyBorder="1" applyAlignment="1" applyProtection="1" quotePrefix="1">
      <alignment/>
      <protection locked="0"/>
    </xf>
    <xf numFmtId="17" fontId="0" fillId="34" borderId="15" xfId="0" applyNumberFormat="1" applyFill="1" applyBorder="1" applyAlignment="1" applyProtection="1">
      <alignment horizontal="center"/>
      <protection locked="0"/>
    </xf>
    <xf numFmtId="17" fontId="0" fillId="34" borderId="15" xfId="0" applyNumberFormat="1" applyFont="1" applyFill="1" applyBorder="1" applyAlignment="1" applyProtection="1" quotePrefix="1">
      <alignment horizontal="center"/>
      <protection locked="0"/>
    </xf>
    <xf numFmtId="17" fontId="0" fillId="34" borderId="2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32" borderId="42" xfId="0" applyFill="1" applyBorder="1" applyAlignment="1">
      <alignment/>
    </xf>
    <xf numFmtId="0" fontId="2" fillId="32" borderId="24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4" borderId="10" xfId="0" applyFont="1" applyFill="1" applyBorder="1" applyAlignment="1" quotePrefix="1">
      <alignment horizontal="center"/>
    </xf>
    <xf numFmtId="0" fontId="3" fillId="34" borderId="41" xfId="0" applyFont="1" applyFill="1" applyBorder="1" applyAlignment="1">
      <alignment horizontal="center"/>
    </xf>
    <xf numFmtId="0" fontId="0" fillId="34" borderId="14" xfId="0" applyFont="1" applyFill="1" applyBorder="1" applyAlignment="1" quotePrefix="1">
      <alignment horizontal="center"/>
    </xf>
    <xf numFmtId="0" fontId="3" fillId="34" borderId="2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4" borderId="14" xfId="0" applyFill="1" applyBorder="1" applyAlignment="1" quotePrefix="1">
      <alignment horizontal="center"/>
    </xf>
    <xf numFmtId="0" fontId="3" fillId="34" borderId="21" xfId="0" applyFont="1" applyFill="1" applyBorder="1" applyAlignment="1">
      <alignment horizontal="center"/>
    </xf>
    <xf numFmtId="0" fontId="0" fillId="36" borderId="14" xfId="0" applyFont="1" applyFill="1" applyBorder="1" applyAlignment="1" quotePrefix="1">
      <alignment horizontal="center"/>
    </xf>
    <xf numFmtId="0" fontId="3" fillId="0" borderId="41" xfId="0" applyFont="1" applyFill="1" applyBorder="1" applyAlignment="1">
      <alignment horizontal="center"/>
    </xf>
    <xf numFmtId="17" fontId="0" fillId="0" borderId="15" xfId="0" applyNumberFormat="1" applyFill="1" applyBorder="1" applyAlignment="1" quotePrefix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7" xfId="0" applyFill="1" applyBorder="1" applyAlignment="1" quotePrefix="1">
      <alignment horizontal="center"/>
    </xf>
    <xf numFmtId="0" fontId="3" fillId="0" borderId="44" xfId="0" applyFont="1" applyFill="1" applyBorder="1" applyAlignment="1">
      <alignment horizontal="center"/>
    </xf>
    <xf numFmtId="188" fontId="0" fillId="0" borderId="22" xfId="0" applyNumberFormat="1" applyFont="1" applyFill="1" applyBorder="1" applyAlignment="1" applyProtection="1">
      <alignment/>
      <protection locked="0"/>
    </xf>
    <xf numFmtId="188" fontId="7" fillId="0" borderId="22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188" fontId="7" fillId="34" borderId="10" xfId="0" applyNumberFormat="1" applyFont="1" applyFill="1" applyBorder="1" applyAlignment="1" applyProtection="1">
      <alignment horizontal="center"/>
      <protection locked="0"/>
    </xf>
    <xf numFmtId="16" fontId="7" fillId="0" borderId="0" xfId="0" applyNumberFormat="1" applyFont="1" applyAlignment="1" quotePrefix="1">
      <alignment horizontal="center"/>
    </xf>
    <xf numFmtId="17" fontId="0" fillId="34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10" xfId="0" applyNumberFormat="1" applyFont="1" applyFill="1" applyBorder="1" applyAlignment="1" applyProtection="1">
      <alignment horizontal="center"/>
      <protection locked="0"/>
    </xf>
    <xf numFmtId="17" fontId="0" fillId="0" borderId="10" xfId="0" applyNumberFormat="1" applyFont="1" applyFill="1" applyBorder="1" applyAlignment="1" quotePrefix="1">
      <alignment horizontal="center"/>
    </xf>
    <xf numFmtId="0" fontId="23" fillId="36" borderId="11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188" fontId="0" fillId="0" borderId="10" xfId="0" applyNumberFormat="1" applyFont="1" applyFill="1" applyBorder="1" applyAlignment="1" applyProtection="1">
      <alignment/>
      <protection/>
    </xf>
    <xf numFmtId="188" fontId="0" fillId="0" borderId="16" xfId="0" applyNumberFormat="1" applyFont="1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5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34" borderId="45" xfId="0" applyFont="1" applyFill="1" applyBorder="1" applyAlignment="1">
      <alignment/>
    </xf>
    <xf numFmtId="188" fontId="0" fillId="34" borderId="1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quotePrefix="1">
      <alignment horizontal="center"/>
    </xf>
    <xf numFmtId="188" fontId="0" fillId="0" borderId="10" xfId="0" applyNumberFormat="1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188" fontId="0" fillId="0" borderId="17" xfId="0" applyNumberFormat="1" applyFont="1" applyFill="1" applyBorder="1" applyAlignment="1" applyProtection="1">
      <alignment horizontal="center"/>
      <protection/>
    </xf>
    <xf numFmtId="188" fontId="0" fillId="0" borderId="17" xfId="0" applyNumberFormat="1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land\OneDrive\KEGELN\Kegeln%20ERH\KM\KM2013\KM2013_Jugend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sichten"/>
      <sheetName val="U18"/>
      <sheetName val="U14"/>
      <sheetName val="Startreihenfolge"/>
    </sheetNames>
    <sheetDataSet>
      <sheetData sheetId="1">
        <row r="1">
          <cell r="A1" t="str">
            <v>Kreismeisterschaft 2013  -  T S V   N e u h a u s</v>
          </cell>
        </row>
        <row r="3">
          <cell r="A3" t="str">
            <v>26.  /  27.  Januar 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9">
      <selection activeCell="H21" sqref="H21"/>
    </sheetView>
  </sheetViews>
  <sheetFormatPr defaultColWidth="11.421875" defaultRowHeight="15.75" customHeight="1"/>
  <cols>
    <col min="1" max="1" width="5.140625" style="0" customWidth="1"/>
    <col min="2" max="2" width="95.7109375" style="0" bestFit="1" customWidth="1"/>
    <col min="8" max="8" width="22.140625" style="0" customWidth="1"/>
  </cols>
  <sheetData>
    <row r="2" ht="15.75" customHeight="1">
      <c r="A2" s="56" t="s">
        <v>44</v>
      </c>
    </row>
    <row r="3" ht="15.75" customHeight="1">
      <c r="B3" t="s">
        <v>55</v>
      </c>
    </row>
    <row r="4" spans="2:10" ht="15.75" customHeight="1">
      <c r="B4" s="60" t="s">
        <v>50</v>
      </c>
      <c r="D4" s="60"/>
      <c r="E4" s="60"/>
      <c r="F4" s="60"/>
      <c r="G4" s="60"/>
      <c r="H4" s="60"/>
      <c r="I4" s="60"/>
      <c r="J4" s="60"/>
    </row>
    <row r="5" spans="2:10" ht="15.75" customHeight="1">
      <c r="B5" s="60" t="s">
        <v>51</v>
      </c>
      <c r="D5" s="60"/>
      <c r="E5" s="60"/>
      <c r="F5" s="60"/>
      <c r="G5" s="60"/>
      <c r="H5" s="60"/>
      <c r="I5" s="60"/>
      <c r="J5" s="60"/>
    </row>
    <row r="6" spans="2:10" ht="15.75" customHeight="1">
      <c r="B6" s="60" t="s">
        <v>52</v>
      </c>
      <c r="D6" s="60"/>
      <c r="E6" s="60"/>
      <c r="F6" s="60"/>
      <c r="G6" s="60"/>
      <c r="H6" s="60"/>
      <c r="I6" s="60"/>
      <c r="J6" s="60"/>
    </row>
    <row r="7" spans="2:10" ht="15.75" customHeight="1">
      <c r="B7" s="60" t="s">
        <v>53</v>
      </c>
      <c r="D7" s="60"/>
      <c r="E7" s="60"/>
      <c r="F7" s="60"/>
      <c r="G7" s="60"/>
      <c r="H7" s="60"/>
      <c r="I7" s="60"/>
      <c r="J7" s="60"/>
    </row>
    <row r="8" spans="2:6" ht="15.75" customHeight="1">
      <c r="B8" s="60" t="s">
        <v>54</v>
      </c>
      <c r="D8" s="60"/>
      <c r="E8" s="60"/>
      <c r="F8" s="60"/>
    </row>
    <row r="10" ht="15.75" customHeight="1">
      <c r="A10" s="56" t="s">
        <v>45</v>
      </c>
    </row>
    <row r="11" spans="2:9" ht="15.75" customHeight="1">
      <c r="B11" s="60" t="s">
        <v>56</v>
      </c>
      <c r="C11" s="60"/>
      <c r="D11" s="60"/>
      <c r="E11" s="60"/>
      <c r="F11" s="60"/>
      <c r="G11" s="60"/>
      <c r="H11" s="60"/>
      <c r="I11" s="61"/>
    </row>
    <row r="12" spans="2:10" ht="15.75" customHeight="1">
      <c r="B12" s="60" t="s">
        <v>57</v>
      </c>
      <c r="D12" s="60"/>
      <c r="E12" s="60"/>
      <c r="F12" s="60"/>
      <c r="G12" s="60"/>
      <c r="H12" s="60"/>
      <c r="I12" s="60"/>
      <c r="J12" s="60"/>
    </row>
    <row r="13" spans="2:10" ht="15.75" customHeight="1">
      <c r="B13" s="60" t="s">
        <v>58</v>
      </c>
      <c r="D13" s="60"/>
      <c r="E13" s="60"/>
      <c r="F13" s="60"/>
      <c r="G13" s="60"/>
      <c r="H13" s="60"/>
      <c r="I13" s="60"/>
      <c r="J13" s="60"/>
    </row>
    <row r="14" spans="2:10" ht="15.75" customHeight="1">
      <c r="B14" s="60"/>
      <c r="D14" s="60"/>
      <c r="E14" s="60"/>
      <c r="F14" s="60"/>
      <c r="G14" s="60"/>
      <c r="H14" s="60"/>
      <c r="I14" s="60"/>
      <c r="J14" s="60"/>
    </row>
    <row r="15" spans="1:2" ht="15.75" customHeight="1">
      <c r="A15" s="62" t="s">
        <v>46</v>
      </c>
      <c r="B15" s="57"/>
    </row>
    <row r="16" spans="1:2" ht="15.75" customHeight="1">
      <c r="A16" s="58"/>
      <c r="B16" s="57"/>
    </row>
    <row r="17" ht="15.75" customHeight="1">
      <c r="A17" s="56" t="s">
        <v>59</v>
      </c>
    </row>
    <row r="18" ht="15.75" customHeight="1">
      <c r="B18" s="11" t="s">
        <v>61</v>
      </c>
    </row>
    <row r="19" ht="15.75" customHeight="1">
      <c r="B19" s="59" t="s">
        <v>62</v>
      </c>
    </row>
    <row r="20" ht="15.75" customHeight="1">
      <c r="B20" t="s">
        <v>47</v>
      </c>
    </row>
    <row r="21" ht="15.75" customHeight="1">
      <c r="B21" t="s">
        <v>48</v>
      </c>
    </row>
    <row r="22" ht="15.75" customHeight="1">
      <c r="B22" t="s">
        <v>60</v>
      </c>
    </row>
    <row r="23" ht="15.75" customHeight="1">
      <c r="B23" t="s">
        <v>63</v>
      </c>
    </row>
    <row r="24" ht="15.75" customHeight="1">
      <c r="B24" t="s">
        <v>49</v>
      </c>
    </row>
    <row r="26" ht="15.75" customHeight="1">
      <c r="A26" s="56" t="s">
        <v>64</v>
      </c>
    </row>
    <row r="27" ht="15.75" customHeight="1">
      <c r="B27" t="s">
        <v>341</v>
      </c>
    </row>
    <row r="28" ht="15.75" customHeight="1">
      <c r="B28" s="63" t="s">
        <v>340</v>
      </c>
    </row>
    <row r="30" ht="15.75" customHeight="1">
      <c r="A30" s="63" t="s">
        <v>65</v>
      </c>
    </row>
    <row r="31" ht="15.75" customHeight="1">
      <c r="B31" t="s">
        <v>66</v>
      </c>
    </row>
    <row r="32" ht="15.75" customHeight="1">
      <c r="B32" t="s">
        <v>67</v>
      </c>
    </row>
    <row r="34" ht="15.75" customHeight="1">
      <c r="A34" s="63" t="s">
        <v>68</v>
      </c>
    </row>
    <row r="35" ht="15.75" customHeight="1">
      <c r="B35" t="s">
        <v>69</v>
      </c>
    </row>
    <row r="36" ht="15.75" customHeight="1">
      <c r="B36" t="s">
        <v>70</v>
      </c>
    </row>
    <row r="37" ht="15.75" customHeight="1">
      <c r="B37" t="s">
        <v>71</v>
      </c>
    </row>
    <row r="38" ht="15.75" customHeight="1">
      <c r="B38" t="s">
        <v>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9">
      <selection activeCell="F31" sqref="F31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297" t="str">
        <f>'FR'!A1</f>
        <v>Kreismeisterschaft 2013  -   B a i e r s d o r f e r  S V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5">
      <c r="A2" s="297" t="s">
        <v>155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tr">
        <f>'U23m'!A3</f>
        <v>09. / 10. März 2013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343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/>
      <c r="Q8"/>
      <c r="R8"/>
      <c r="S8"/>
      <c r="T8"/>
    </row>
    <row r="9" spans="1:20" s="35" customFormat="1" ht="15.75" customHeight="1">
      <c r="A9" s="301" t="s">
        <v>177</v>
      </c>
      <c r="B9" s="301"/>
      <c r="C9" s="301"/>
      <c r="D9" s="301"/>
      <c r="E9" s="301"/>
      <c r="F9" s="301"/>
      <c r="G9" s="301"/>
      <c r="H9" s="301"/>
      <c r="I9" s="301"/>
      <c r="J9" s="301"/>
      <c r="K9"/>
      <c r="L9"/>
      <c r="M9"/>
      <c r="N9"/>
      <c r="O9"/>
      <c r="P9"/>
      <c r="Q9"/>
      <c r="R9"/>
      <c r="S9"/>
      <c r="T9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11"/>
      <c r="Q11" s="298" t="s">
        <v>12</v>
      </c>
      <c r="R11" s="299"/>
      <c r="S11" s="299"/>
      <c r="T11" s="300"/>
    </row>
    <row r="12" spans="1:20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3"/>
      <c r="Q12" s="51" t="s">
        <v>13</v>
      </c>
      <c r="R12" s="52" t="s">
        <v>14</v>
      </c>
      <c r="S12" s="53" t="s">
        <v>15</v>
      </c>
      <c r="T12" s="54" t="s">
        <v>10</v>
      </c>
    </row>
    <row r="13" spans="1:20" ht="18" customHeight="1">
      <c r="A13" s="181">
        <v>1</v>
      </c>
      <c r="B13" s="223"/>
      <c r="C13" s="181" t="s">
        <v>159</v>
      </c>
      <c r="D13" s="206" t="s">
        <v>160</v>
      </c>
      <c r="E13" s="185" t="s">
        <v>34</v>
      </c>
      <c r="F13" s="124">
        <f aca="true" t="shared" si="0" ref="F13:F26">SUM(N13)</f>
        <v>465</v>
      </c>
      <c r="G13" s="124">
        <f aca="true" t="shared" si="1" ref="G13:G26">SUM(S13)</f>
        <v>430</v>
      </c>
      <c r="H13" s="125">
        <f aca="true" t="shared" si="2" ref="H13:H26">SUM(F13:G13)</f>
        <v>895</v>
      </c>
      <c r="I13" s="124">
        <f aca="true" t="shared" si="3" ref="I13:I26">SUM(M13+R13)</f>
        <v>279</v>
      </c>
      <c r="J13" s="124">
        <f aca="true" t="shared" si="4" ref="J13:J26">SUM(O13+T13)</f>
        <v>8</v>
      </c>
      <c r="K13" s="224"/>
      <c r="L13" s="34">
        <v>309</v>
      </c>
      <c r="M13" s="34">
        <v>156</v>
      </c>
      <c r="N13" s="119">
        <f aca="true" t="shared" si="5" ref="N13:N26">SUM(L13:M13)</f>
        <v>465</v>
      </c>
      <c r="O13" s="34">
        <v>3</v>
      </c>
      <c r="P13" s="20"/>
      <c r="Q13" s="34">
        <v>307</v>
      </c>
      <c r="R13" s="34">
        <v>123</v>
      </c>
      <c r="S13" s="119">
        <f aca="true" t="shared" si="6" ref="S13:S26">SUM(Q13:R13)</f>
        <v>430</v>
      </c>
      <c r="T13" s="34">
        <v>5</v>
      </c>
    </row>
    <row r="14" spans="1:20" ht="18" customHeight="1">
      <c r="A14" s="222">
        <v>2</v>
      </c>
      <c r="B14" s="235"/>
      <c r="C14" s="222" t="s">
        <v>360</v>
      </c>
      <c r="D14" s="206" t="s">
        <v>178</v>
      </c>
      <c r="E14" s="192" t="s">
        <v>33</v>
      </c>
      <c r="F14" s="124">
        <f t="shared" si="0"/>
        <v>454</v>
      </c>
      <c r="G14" s="124">
        <f t="shared" si="1"/>
        <v>399</v>
      </c>
      <c r="H14" s="125">
        <f t="shared" si="2"/>
        <v>853</v>
      </c>
      <c r="I14" s="124">
        <f t="shared" si="3"/>
        <v>264</v>
      </c>
      <c r="J14" s="124">
        <f t="shared" si="4"/>
        <v>13</v>
      </c>
      <c r="K14" s="224"/>
      <c r="L14" s="34">
        <v>302</v>
      </c>
      <c r="M14" s="34">
        <v>152</v>
      </c>
      <c r="N14" s="119">
        <f t="shared" si="5"/>
        <v>454</v>
      </c>
      <c r="O14" s="34">
        <v>4</v>
      </c>
      <c r="P14" s="20"/>
      <c r="Q14" s="34">
        <v>287</v>
      </c>
      <c r="R14" s="34">
        <v>112</v>
      </c>
      <c r="S14" s="119">
        <f t="shared" si="6"/>
        <v>399</v>
      </c>
      <c r="T14" s="34">
        <v>9</v>
      </c>
    </row>
    <row r="15" spans="1:20" ht="20.25" customHeight="1">
      <c r="A15" s="181">
        <v>3</v>
      </c>
      <c r="B15" s="233"/>
      <c r="C15" s="181" t="s">
        <v>266</v>
      </c>
      <c r="D15" s="123" t="s">
        <v>267</v>
      </c>
      <c r="E15" s="185" t="s">
        <v>126</v>
      </c>
      <c r="F15" s="124">
        <f t="shared" si="0"/>
        <v>417</v>
      </c>
      <c r="G15" s="124">
        <f t="shared" si="1"/>
        <v>425</v>
      </c>
      <c r="H15" s="125">
        <f t="shared" si="2"/>
        <v>842</v>
      </c>
      <c r="I15" s="124">
        <f t="shared" si="3"/>
        <v>279</v>
      </c>
      <c r="J15" s="124">
        <f t="shared" si="4"/>
        <v>11</v>
      </c>
      <c r="K15" s="224"/>
      <c r="L15" s="34">
        <v>277</v>
      </c>
      <c r="M15" s="34">
        <v>140</v>
      </c>
      <c r="N15" s="119">
        <f t="shared" si="5"/>
        <v>417</v>
      </c>
      <c r="O15" s="34">
        <v>5</v>
      </c>
      <c r="P15" s="20"/>
      <c r="Q15" s="34">
        <v>286</v>
      </c>
      <c r="R15" s="34">
        <v>139</v>
      </c>
      <c r="S15" s="119">
        <f t="shared" si="6"/>
        <v>425</v>
      </c>
      <c r="T15" s="34">
        <v>6</v>
      </c>
    </row>
    <row r="16" spans="1:20" ht="18" customHeight="1">
      <c r="A16" s="119">
        <v>4</v>
      </c>
      <c r="B16" s="243"/>
      <c r="C16" s="119" t="s">
        <v>337</v>
      </c>
      <c r="D16" s="33" t="s">
        <v>339</v>
      </c>
      <c r="E16" s="246" t="s">
        <v>41</v>
      </c>
      <c r="F16" s="14">
        <f t="shared" si="0"/>
        <v>416</v>
      </c>
      <c r="G16" s="14">
        <f t="shared" si="1"/>
        <v>405</v>
      </c>
      <c r="H16" s="15">
        <f t="shared" si="2"/>
        <v>821</v>
      </c>
      <c r="I16" s="14">
        <f t="shared" si="3"/>
        <v>269</v>
      </c>
      <c r="J16" s="14">
        <f t="shared" si="4"/>
        <v>14</v>
      </c>
      <c r="K16" s="224"/>
      <c r="L16" s="34">
        <v>283</v>
      </c>
      <c r="M16" s="34">
        <v>133</v>
      </c>
      <c r="N16" s="119">
        <f t="shared" si="5"/>
        <v>416</v>
      </c>
      <c r="O16" s="34">
        <v>6</v>
      </c>
      <c r="P16" s="20"/>
      <c r="Q16" s="34">
        <v>269</v>
      </c>
      <c r="R16" s="34">
        <v>136</v>
      </c>
      <c r="S16" s="119">
        <f t="shared" si="6"/>
        <v>405</v>
      </c>
      <c r="T16" s="34">
        <v>8</v>
      </c>
    </row>
    <row r="17" spans="1:20" ht="17.25" customHeight="1">
      <c r="A17" s="119">
        <v>5</v>
      </c>
      <c r="B17" s="244"/>
      <c r="C17" s="119" t="s">
        <v>106</v>
      </c>
      <c r="D17" s="33" t="s">
        <v>107</v>
      </c>
      <c r="E17" s="246" t="s">
        <v>36</v>
      </c>
      <c r="F17" s="14">
        <f t="shared" si="0"/>
        <v>416</v>
      </c>
      <c r="G17" s="14">
        <f t="shared" si="1"/>
        <v>403</v>
      </c>
      <c r="H17" s="15">
        <f t="shared" si="2"/>
        <v>819</v>
      </c>
      <c r="I17" s="14">
        <f t="shared" si="3"/>
        <v>250</v>
      </c>
      <c r="J17" s="14">
        <f t="shared" si="4"/>
        <v>13</v>
      </c>
      <c r="K17" s="224"/>
      <c r="L17" s="34">
        <v>280</v>
      </c>
      <c r="M17" s="34">
        <v>136</v>
      </c>
      <c r="N17" s="119">
        <f t="shared" si="5"/>
        <v>416</v>
      </c>
      <c r="O17" s="34">
        <v>5</v>
      </c>
      <c r="P17" s="20"/>
      <c r="Q17" s="34">
        <v>289</v>
      </c>
      <c r="R17" s="34">
        <v>114</v>
      </c>
      <c r="S17" s="119">
        <f t="shared" si="6"/>
        <v>403</v>
      </c>
      <c r="T17" s="34">
        <v>8</v>
      </c>
    </row>
    <row r="18" spans="1:20" ht="16.5" customHeight="1">
      <c r="A18" s="119">
        <v>6</v>
      </c>
      <c r="B18" s="244"/>
      <c r="C18" s="119" t="s">
        <v>336</v>
      </c>
      <c r="D18" s="65" t="s">
        <v>338</v>
      </c>
      <c r="E18" s="246" t="s">
        <v>42</v>
      </c>
      <c r="F18" s="14">
        <f t="shared" si="0"/>
        <v>410</v>
      </c>
      <c r="G18" s="14">
        <f t="shared" si="1"/>
        <v>390</v>
      </c>
      <c r="H18" s="15">
        <f t="shared" si="2"/>
        <v>800</v>
      </c>
      <c r="I18" s="14">
        <f t="shared" si="3"/>
        <v>229</v>
      </c>
      <c r="J18" s="14">
        <f t="shared" si="4"/>
        <v>17</v>
      </c>
      <c r="K18" s="224"/>
      <c r="L18" s="34">
        <v>291</v>
      </c>
      <c r="M18" s="34">
        <v>119</v>
      </c>
      <c r="N18" s="119">
        <f t="shared" si="5"/>
        <v>410</v>
      </c>
      <c r="O18" s="34">
        <v>6</v>
      </c>
      <c r="P18" s="20"/>
      <c r="Q18" s="34">
        <v>280</v>
      </c>
      <c r="R18" s="34">
        <v>110</v>
      </c>
      <c r="S18" s="119">
        <f t="shared" si="6"/>
        <v>390</v>
      </c>
      <c r="T18" s="34">
        <v>11</v>
      </c>
    </row>
    <row r="19" spans="1:20" ht="18" customHeight="1">
      <c r="A19" s="119">
        <v>7</v>
      </c>
      <c r="B19" s="245"/>
      <c r="C19" s="119" t="s">
        <v>308</v>
      </c>
      <c r="D19" s="33" t="s">
        <v>309</v>
      </c>
      <c r="E19" s="246" t="s">
        <v>38</v>
      </c>
      <c r="F19" s="14">
        <f t="shared" si="0"/>
        <v>389</v>
      </c>
      <c r="G19" s="14">
        <f t="shared" si="1"/>
        <v>404</v>
      </c>
      <c r="H19" s="15">
        <f t="shared" si="2"/>
        <v>793</v>
      </c>
      <c r="I19" s="14">
        <f t="shared" si="3"/>
        <v>216</v>
      </c>
      <c r="J19" s="14">
        <f t="shared" si="4"/>
        <v>21</v>
      </c>
      <c r="K19" s="224"/>
      <c r="L19" s="34">
        <v>284</v>
      </c>
      <c r="M19" s="34">
        <v>105</v>
      </c>
      <c r="N19" s="119">
        <f t="shared" si="5"/>
        <v>389</v>
      </c>
      <c r="O19" s="34">
        <v>10</v>
      </c>
      <c r="P19" s="20"/>
      <c r="Q19" s="34">
        <v>293</v>
      </c>
      <c r="R19" s="34">
        <v>111</v>
      </c>
      <c r="S19" s="119">
        <f t="shared" si="6"/>
        <v>404</v>
      </c>
      <c r="T19" s="34">
        <v>11</v>
      </c>
    </row>
    <row r="20" spans="1:20" ht="18" customHeight="1">
      <c r="A20" s="226">
        <v>8</v>
      </c>
      <c r="B20" s="227"/>
      <c r="C20" s="226" t="s">
        <v>102</v>
      </c>
      <c r="D20" s="228" t="s">
        <v>103</v>
      </c>
      <c r="E20" s="229" t="s">
        <v>79</v>
      </c>
      <c r="F20" s="230">
        <f t="shared" si="0"/>
        <v>385</v>
      </c>
      <c r="G20" s="230">
        <f t="shared" si="1"/>
        <v>395</v>
      </c>
      <c r="H20" s="231">
        <f t="shared" si="2"/>
        <v>780</v>
      </c>
      <c r="I20" s="230">
        <f t="shared" si="3"/>
        <v>225</v>
      </c>
      <c r="J20" s="230">
        <f t="shared" si="4"/>
        <v>20</v>
      </c>
      <c r="K20" s="224"/>
      <c r="L20" s="226">
        <v>291</v>
      </c>
      <c r="M20" s="226">
        <v>94</v>
      </c>
      <c r="N20" s="232">
        <f t="shared" si="5"/>
        <v>385</v>
      </c>
      <c r="O20" s="226">
        <v>11</v>
      </c>
      <c r="P20" s="225"/>
      <c r="Q20" s="226">
        <v>264</v>
      </c>
      <c r="R20" s="226">
        <v>131</v>
      </c>
      <c r="S20" s="232">
        <f t="shared" si="6"/>
        <v>395</v>
      </c>
      <c r="T20" s="226">
        <v>9</v>
      </c>
    </row>
    <row r="21" spans="1:20" ht="18" customHeight="1">
      <c r="A21" s="226">
        <v>9</v>
      </c>
      <c r="B21" s="236"/>
      <c r="C21" s="226" t="s">
        <v>101</v>
      </c>
      <c r="D21" s="237" t="s">
        <v>161</v>
      </c>
      <c r="E21" s="229" t="s">
        <v>78</v>
      </c>
      <c r="F21" s="230">
        <f t="shared" si="0"/>
        <v>398</v>
      </c>
      <c r="G21" s="230">
        <f t="shared" si="1"/>
        <v>380</v>
      </c>
      <c r="H21" s="231">
        <f t="shared" si="2"/>
        <v>778</v>
      </c>
      <c r="I21" s="230">
        <f t="shared" si="3"/>
        <v>208</v>
      </c>
      <c r="J21" s="230">
        <f t="shared" si="4"/>
        <v>24</v>
      </c>
      <c r="K21" s="224"/>
      <c r="L21" s="226">
        <v>296</v>
      </c>
      <c r="M21" s="226">
        <v>102</v>
      </c>
      <c r="N21" s="232">
        <f t="shared" si="5"/>
        <v>398</v>
      </c>
      <c r="O21" s="226">
        <v>10</v>
      </c>
      <c r="P21" s="225"/>
      <c r="Q21" s="226">
        <v>274</v>
      </c>
      <c r="R21" s="226">
        <v>106</v>
      </c>
      <c r="S21" s="232">
        <f t="shared" si="6"/>
        <v>380</v>
      </c>
      <c r="T21" s="226">
        <v>14</v>
      </c>
    </row>
    <row r="22" spans="1:20" ht="20.25" customHeight="1">
      <c r="A22" s="226">
        <v>10</v>
      </c>
      <c r="B22" s="238"/>
      <c r="C22" s="226" t="s">
        <v>310</v>
      </c>
      <c r="D22" s="237" t="s">
        <v>311</v>
      </c>
      <c r="E22" s="229" t="s">
        <v>37</v>
      </c>
      <c r="F22" s="230">
        <f t="shared" si="0"/>
        <v>384</v>
      </c>
      <c r="G22" s="230">
        <f t="shared" si="1"/>
        <v>381</v>
      </c>
      <c r="H22" s="231">
        <f t="shared" si="2"/>
        <v>765</v>
      </c>
      <c r="I22" s="230">
        <f t="shared" si="3"/>
        <v>211</v>
      </c>
      <c r="J22" s="230">
        <f t="shared" si="4"/>
        <v>22</v>
      </c>
      <c r="K22" s="224"/>
      <c r="L22" s="226">
        <v>278</v>
      </c>
      <c r="M22" s="226">
        <v>106</v>
      </c>
      <c r="N22" s="232">
        <f t="shared" si="5"/>
        <v>384</v>
      </c>
      <c r="O22" s="226">
        <v>10</v>
      </c>
      <c r="P22" s="225"/>
      <c r="Q22" s="226">
        <v>276</v>
      </c>
      <c r="R22" s="226">
        <v>105</v>
      </c>
      <c r="S22" s="232">
        <f t="shared" si="6"/>
        <v>381</v>
      </c>
      <c r="T22" s="226">
        <v>12</v>
      </c>
    </row>
    <row r="23" spans="1:20" ht="18" customHeight="1">
      <c r="A23" s="226">
        <v>11</v>
      </c>
      <c r="B23" s="239"/>
      <c r="C23" s="226" t="s">
        <v>94</v>
      </c>
      <c r="D23" s="237" t="s">
        <v>179</v>
      </c>
      <c r="E23" s="229" t="s">
        <v>32</v>
      </c>
      <c r="F23" s="230">
        <f t="shared" si="0"/>
        <v>378</v>
      </c>
      <c r="G23" s="230">
        <f t="shared" si="1"/>
        <v>375</v>
      </c>
      <c r="H23" s="231">
        <f t="shared" si="2"/>
        <v>753</v>
      </c>
      <c r="I23" s="230">
        <f t="shared" si="3"/>
        <v>218</v>
      </c>
      <c r="J23" s="230">
        <f t="shared" si="4"/>
        <v>19</v>
      </c>
      <c r="K23" s="224"/>
      <c r="L23" s="226">
        <v>274</v>
      </c>
      <c r="M23" s="226">
        <v>104</v>
      </c>
      <c r="N23" s="232">
        <f t="shared" si="5"/>
        <v>378</v>
      </c>
      <c r="O23" s="226">
        <v>11</v>
      </c>
      <c r="P23" s="225"/>
      <c r="Q23" s="226">
        <v>261</v>
      </c>
      <c r="R23" s="226">
        <v>114</v>
      </c>
      <c r="S23" s="232">
        <f t="shared" si="6"/>
        <v>375</v>
      </c>
      <c r="T23" s="226">
        <v>8</v>
      </c>
    </row>
    <row r="24" spans="1:20" ht="18" customHeight="1">
      <c r="A24" s="226">
        <v>12</v>
      </c>
      <c r="B24" s="236"/>
      <c r="C24" s="226" t="s">
        <v>279</v>
      </c>
      <c r="D24" s="228" t="s">
        <v>280</v>
      </c>
      <c r="E24" s="229" t="s">
        <v>76</v>
      </c>
      <c r="F24" s="230">
        <f>SUM(N24)</f>
        <v>378</v>
      </c>
      <c r="G24" s="230">
        <f>SUM(S24)</f>
        <v>0</v>
      </c>
      <c r="H24" s="231">
        <f>SUM(F24:G24)</f>
        <v>378</v>
      </c>
      <c r="I24" s="230">
        <f>SUM(M24+R24)</f>
        <v>114</v>
      </c>
      <c r="J24" s="230">
        <f>SUM(O24+T24)</f>
        <v>9</v>
      </c>
      <c r="K24" s="224"/>
      <c r="L24" s="226">
        <v>264</v>
      </c>
      <c r="M24" s="226">
        <v>114</v>
      </c>
      <c r="N24" s="232">
        <f>SUM(L24:M24)</f>
        <v>378</v>
      </c>
      <c r="O24" s="226">
        <v>9</v>
      </c>
      <c r="P24" s="225"/>
      <c r="Q24" s="226"/>
      <c r="R24" s="226"/>
      <c r="S24" s="232">
        <f>SUM(Q24:R24)</f>
        <v>0</v>
      </c>
      <c r="T24" s="226"/>
    </row>
    <row r="25" spans="1:20" ht="18" customHeight="1">
      <c r="A25" s="34">
        <v>13</v>
      </c>
      <c r="B25" s="240"/>
      <c r="C25" s="34" t="s">
        <v>162</v>
      </c>
      <c r="D25" s="33" t="s">
        <v>163</v>
      </c>
      <c r="E25" s="69" t="s">
        <v>80</v>
      </c>
      <c r="F25" s="14">
        <f t="shared" si="0"/>
        <v>373</v>
      </c>
      <c r="G25" s="14">
        <f t="shared" si="1"/>
        <v>0</v>
      </c>
      <c r="H25" s="15">
        <f t="shared" si="2"/>
        <v>373</v>
      </c>
      <c r="I25" s="14">
        <f t="shared" si="3"/>
        <v>120</v>
      </c>
      <c r="J25" s="14">
        <f t="shared" si="4"/>
        <v>2</v>
      </c>
      <c r="K25" s="224"/>
      <c r="L25" s="84">
        <v>253</v>
      </c>
      <c r="M25" s="84">
        <v>120</v>
      </c>
      <c r="N25" s="241">
        <f t="shared" si="5"/>
        <v>373</v>
      </c>
      <c r="O25" s="84">
        <v>2</v>
      </c>
      <c r="P25" s="225"/>
      <c r="Q25" s="84"/>
      <c r="R25" s="84"/>
      <c r="S25" s="241">
        <f t="shared" si="6"/>
        <v>0</v>
      </c>
      <c r="T25" s="84"/>
    </row>
    <row r="26" spans="1:20" ht="18" customHeight="1">
      <c r="A26" s="34">
        <v>14</v>
      </c>
      <c r="B26" s="242"/>
      <c r="C26" s="34" t="s">
        <v>104</v>
      </c>
      <c r="D26" s="65" t="s">
        <v>105</v>
      </c>
      <c r="E26" s="69" t="s">
        <v>89</v>
      </c>
      <c r="F26" s="14">
        <f t="shared" si="0"/>
        <v>368</v>
      </c>
      <c r="G26" s="14">
        <f t="shared" si="1"/>
        <v>0</v>
      </c>
      <c r="H26" s="15">
        <f t="shared" si="2"/>
        <v>368</v>
      </c>
      <c r="I26" s="14">
        <f t="shared" si="3"/>
        <v>106</v>
      </c>
      <c r="J26" s="14">
        <f t="shared" si="4"/>
        <v>9</v>
      </c>
      <c r="K26" s="224"/>
      <c r="L26" s="84">
        <v>262</v>
      </c>
      <c r="M26" s="84">
        <v>106</v>
      </c>
      <c r="N26" s="241">
        <f t="shared" si="5"/>
        <v>368</v>
      </c>
      <c r="O26" s="84">
        <v>9</v>
      </c>
      <c r="P26" s="225"/>
      <c r="Q26" s="84"/>
      <c r="R26" s="84"/>
      <c r="S26" s="241">
        <f t="shared" si="6"/>
        <v>0</v>
      </c>
      <c r="T26" s="84"/>
    </row>
    <row r="27" spans="1:20" ht="18" customHeight="1">
      <c r="A27" s="23"/>
      <c r="B27" s="77"/>
      <c r="C27" s="34" t="s">
        <v>285</v>
      </c>
      <c r="D27" s="65" t="s">
        <v>222</v>
      </c>
      <c r="E27" s="69" t="s">
        <v>81</v>
      </c>
      <c r="F27" s="189" t="s">
        <v>356</v>
      </c>
      <c r="G27" s="21">
        <f>SUM(S27)</f>
        <v>0</v>
      </c>
      <c r="H27" s="22">
        <f>SUM(F27:G27)</f>
        <v>0</v>
      </c>
      <c r="I27" s="21">
        <f>SUM(M27+R27)</f>
        <v>0</v>
      </c>
      <c r="J27" s="21">
        <f>SUM(O27+T27)</f>
        <v>0</v>
      </c>
      <c r="L27" s="16"/>
      <c r="M27" s="17"/>
      <c r="N27" s="18">
        <f>SUM(L27:M27)</f>
        <v>0</v>
      </c>
      <c r="O27" s="19"/>
      <c r="P27" s="11"/>
      <c r="Q27" s="16"/>
      <c r="R27" s="17"/>
      <c r="S27" s="18">
        <f>SUM(Q27:R27)</f>
        <v>0</v>
      </c>
      <c r="T27" s="19"/>
    </row>
    <row r="28" spans="1:20" ht="20.25" customHeight="1">
      <c r="A28" s="24"/>
      <c r="B28" s="101"/>
      <c r="C28" s="34" t="s">
        <v>164</v>
      </c>
      <c r="D28" s="65"/>
      <c r="E28" s="55" t="s">
        <v>89</v>
      </c>
      <c r="F28" s="14">
        <f>SUM(N28)</f>
        <v>0</v>
      </c>
      <c r="G28" s="14">
        <f>SUM(S28)</f>
        <v>0</v>
      </c>
      <c r="H28" s="15">
        <f>SUM(F28:G28)</f>
        <v>0</v>
      </c>
      <c r="I28" s="14">
        <f>SUM(M28+R28)</f>
        <v>0</v>
      </c>
      <c r="J28" s="14">
        <f>SUM(O28+T28)</f>
        <v>0</v>
      </c>
      <c r="L28" s="16"/>
      <c r="M28" s="17"/>
      <c r="N28" s="18">
        <f>SUM(L28:M28)</f>
        <v>0</v>
      </c>
      <c r="O28" s="19"/>
      <c r="P28" s="11"/>
      <c r="Q28" s="16"/>
      <c r="R28" s="17"/>
      <c r="S28" s="18">
        <f>SUM(Q28:R28)</f>
        <v>0</v>
      </c>
      <c r="T28" s="19"/>
    </row>
    <row r="29" spans="1:20" ht="18" customHeight="1">
      <c r="A29" s="25"/>
      <c r="B29" s="100"/>
      <c r="C29" s="34" t="s">
        <v>164</v>
      </c>
      <c r="D29" s="33"/>
      <c r="E29" s="69" t="s">
        <v>18</v>
      </c>
      <c r="F29" s="14">
        <f>SUM(N29)</f>
        <v>0</v>
      </c>
      <c r="G29" s="14">
        <f>SUM(S29)</f>
        <v>0</v>
      </c>
      <c r="H29" s="15">
        <f>SUM(F29:G29)</f>
        <v>0</v>
      </c>
      <c r="I29" s="14">
        <f>SUM(M29+R29)</f>
        <v>0</v>
      </c>
      <c r="J29" s="14">
        <f>SUM(O29+T29)</f>
        <v>0</v>
      </c>
      <c r="L29" s="16"/>
      <c r="M29" s="17"/>
      <c r="N29" s="18">
        <f>SUM(L29:M29)</f>
        <v>0</v>
      </c>
      <c r="O29" s="19"/>
      <c r="P29" s="11"/>
      <c r="Q29" s="16"/>
      <c r="R29" s="17"/>
      <c r="S29" s="18">
        <f>SUM(Q29:R29)</f>
        <v>0</v>
      </c>
      <c r="T29" s="19"/>
    </row>
    <row r="30" spans="1:20" ht="18" customHeight="1">
      <c r="A30" s="24"/>
      <c r="B30" s="89"/>
      <c r="C30" s="34" t="s">
        <v>164</v>
      </c>
      <c r="D30" s="33"/>
      <c r="E30" s="69" t="s">
        <v>17</v>
      </c>
      <c r="F30" s="14">
        <f>SUM(N30)</f>
        <v>0</v>
      </c>
      <c r="G30" s="14">
        <f>SUM(S30)</f>
        <v>0</v>
      </c>
      <c r="H30" s="15">
        <f>SUM(F30:G30)</f>
        <v>0</v>
      </c>
      <c r="I30" s="14">
        <f>SUM(M30+R30)</f>
        <v>0</v>
      </c>
      <c r="J30" s="14">
        <f>SUM(O30+T30)</f>
        <v>0</v>
      </c>
      <c r="L30" s="16"/>
      <c r="M30" s="17"/>
      <c r="N30" s="18">
        <f>SUM(L30:M30)</f>
        <v>0</v>
      </c>
      <c r="O30" s="19"/>
      <c r="P30" s="11"/>
      <c r="Q30" s="16"/>
      <c r="R30" s="17"/>
      <c r="S30" s="18">
        <f>SUM(Q30:R30)</f>
        <v>0</v>
      </c>
      <c r="T30" s="19"/>
    </row>
    <row r="31" spans="1:20" ht="18" customHeight="1">
      <c r="A31" s="20"/>
      <c r="B31" s="251"/>
      <c r="C31" s="252" t="s">
        <v>361</v>
      </c>
      <c r="D31" s="247"/>
      <c r="E31" s="248"/>
      <c r="F31" s="249"/>
      <c r="G31" s="249"/>
      <c r="H31" s="29"/>
      <c r="I31" s="249"/>
      <c r="J31" s="249"/>
      <c r="L31" s="12"/>
      <c r="M31" s="12"/>
      <c r="N31" s="30"/>
      <c r="O31" s="12"/>
      <c r="P31" s="11"/>
      <c r="Q31" s="12"/>
      <c r="R31" s="12"/>
      <c r="S31" s="30"/>
      <c r="T31" s="12"/>
    </row>
    <row r="32" spans="1:20" ht="13.5" customHeight="1">
      <c r="A32" s="12"/>
      <c r="B32" s="250"/>
      <c r="C32" s="5"/>
      <c r="D32" s="28"/>
      <c r="E32" s="10"/>
      <c r="F32" s="37"/>
      <c r="G32" s="37"/>
      <c r="H32" s="29"/>
      <c r="I32" s="37"/>
      <c r="J32" s="37"/>
      <c r="L32" s="12"/>
      <c r="M32" s="12"/>
      <c r="N32" s="30"/>
      <c r="O32" s="12"/>
      <c r="P32" s="20"/>
      <c r="Q32" s="12"/>
      <c r="R32" s="12"/>
      <c r="S32" s="30"/>
      <c r="T32" s="12"/>
    </row>
    <row r="33" spans="1:20" ht="13.5" customHeight="1">
      <c r="A33" t="s">
        <v>151</v>
      </c>
      <c r="B33" s="79"/>
      <c r="F33" s="37"/>
      <c r="G33" s="37"/>
      <c r="H33" s="29"/>
      <c r="I33" s="37"/>
      <c r="J33" s="37"/>
      <c r="L33" s="12"/>
      <c r="M33" s="12"/>
      <c r="N33" s="30"/>
      <c r="O33" s="12"/>
      <c r="P33" s="20"/>
      <c r="Q33" s="12"/>
      <c r="R33" s="12"/>
      <c r="S33" s="30"/>
      <c r="T33" s="12"/>
    </row>
    <row r="34" spans="4:5" ht="13.5" customHeight="1">
      <c r="D34" s="6"/>
      <c r="E34" s="7"/>
    </row>
    <row r="35" spans="1:5" ht="13.5" customHeight="1">
      <c r="A35" s="8" t="s">
        <v>156</v>
      </c>
      <c r="D35" s="6"/>
      <c r="E35" s="7"/>
    </row>
    <row r="36" ht="12.75">
      <c r="A36" s="9" t="s">
        <v>157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0">
      <selection activeCell="V26" sqref="V26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15" width="5.7109375" style="0" customWidth="1"/>
    <col min="16" max="16" width="5.7109375" style="6" customWidth="1"/>
    <col min="17" max="20" width="5.7109375" style="0" customWidth="1"/>
    <col min="21" max="21" width="5.140625" style="6" bestFit="1" customWidth="1"/>
  </cols>
  <sheetData>
    <row r="1" spans="1:10" ht="15.75" customHeight="1">
      <c r="A1" s="297" t="s">
        <v>176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5">
      <c r="A2" s="297" t="s">
        <v>173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tr">
        <f>'U23w'!A3</f>
        <v>09. / 10. März 2013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342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1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 s="6"/>
      <c r="Q8"/>
      <c r="R8"/>
      <c r="S8"/>
      <c r="T8"/>
      <c r="U8" s="118"/>
    </row>
    <row r="9" spans="1:21" s="35" customFormat="1" ht="15.75" customHeight="1">
      <c r="A9" s="303" t="s">
        <v>175</v>
      </c>
      <c r="B9" s="303"/>
      <c r="C9" s="303"/>
      <c r="D9" s="303"/>
      <c r="E9" s="303"/>
      <c r="F9" s="303"/>
      <c r="G9" s="303"/>
      <c r="H9" s="303"/>
      <c r="I9" s="303"/>
      <c r="J9" s="303"/>
      <c r="K9"/>
      <c r="L9"/>
      <c r="M9"/>
      <c r="N9"/>
      <c r="O9"/>
      <c r="P9" s="6"/>
      <c r="Q9"/>
      <c r="R9"/>
      <c r="S9"/>
      <c r="T9"/>
      <c r="U9" s="118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90"/>
      <c r="Q11" s="298" t="s">
        <v>12</v>
      </c>
      <c r="R11" s="299"/>
      <c r="S11" s="299"/>
      <c r="T11" s="300"/>
    </row>
    <row r="12" spans="1:21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15" t="s">
        <v>252</v>
      </c>
      <c r="Q12" s="51" t="s">
        <v>13</v>
      </c>
      <c r="R12" s="52" t="s">
        <v>14</v>
      </c>
      <c r="S12" s="53" t="s">
        <v>15</v>
      </c>
      <c r="T12" s="54" t="s">
        <v>10</v>
      </c>
      <c r="U12" s="114" t="s">
        <v>252</v>
      </c>
    </row>
    <row r="13" spans="1:21" ht="18" customHeight="1">
      <c r="A13" s="217">
        <v>1</v>
      </c>
      <c r="B13" s="200"/>
      <c r="C13" s="221" t="s">
        <v>96</v>
      </c>
      <c r="D13" s="201" t="s">
        <v>99</v>
      </c>
      <c r="E13" s="192" t="s">
        <v>358</v>
      </c>
      <c r="F13" s="202">
        <f aca="true" t="shared" si="0" ref="F13:F21">SUM(N13)</f>
        <v>451</v>
      </c>
      <c r="G13" s="202">
        <f aca="true" t="shared" si="1" ref="G13:G20">SUM(S13)</f>
        <v>408</v>
      </c>
      <c r="H13" s="125">
        <f aca="true" t="shared" si="2" ref="H13:H21">SUM(F13:G13)</f>
        <v>859</v>
      </c>
      <c r="I13" s="202">
        <f aca="true" t="shared" si="3" ref="I13:I21">SUM(M13+R13)</f>
        <v>289</v>
      </c>
      <c r="J13" s="202">
        <f aca="true" t="shared" si="4" ref="J13:J21">SUM(O13+T13)</f>
        <v>9</v>
      </c>
      <c r="L13" s="16">
        <f>153+139</f>
        <v>292</v>
      </c>
      <c r="M13" s="17">
        <f>80+79</f>
        <v>159</v>
      </c>
      <c r="N13" s="18">
        <f aca="true" t="shared" si="5" ref="N13:N21">SUM(L13:M13)</f>
        <v>451</v>
      </c>
      <c r="O13" s="19">
        <f>3+1</f>
        <v>4</v>
      </c>
      <c r="P13" s="116">
        <v>3</v>
      </c>
      <c r="Q13" s="16">
        <f>135+143</f>
        <v>278</v>
      </c>
      <c r="R13" s="17">
        <f>58+72</f>
        <v>130</v>
      </c>
      <c r="S13" s="18">
        <f aca="true" t="shared" si="6" ref="S13:S21">SUM(Q13:R13)</f>
        <v>408</v>
      </c>
      <c r="T13" s="19">
        <f>3+2</f>
        <v>5</v>
      </c>
      <c r="U13" s="6">
        <v>3</v>
      </c>
    </row>
    <row r="14" spans="1:21" ht="18" customHeight="1">
      <c r="A14" s="218">
        <f>A13+1</f>
        <v>2</v>
      </c>
      <c r="B14" s="203"/>
      <c r="C14" s="182" t="s">
        <v>95</v>
      </c>
      <c r="D14" s="133" t="s">
        <v>100</v>
      </c>
      <c r="E14" s="193" t="s">
        <v>358</v>
      </c>
      <c r="F14" s="204">
        <f t="shared" si="0"/>
        <v>403</v>
      </c>
      <c r="G14" s="204">
        <f t="shared" si="1"/>
        <v>412</v>
      </c>
      <c r="H14" s="135">
        <f t="shared" si="2"/>
        <v>815</v>
      </c>
      <c r="I14" s="204">
        <f t="shared" si="3"/>
        <v>264</v>
      </c>
      <c r="J14" s="204">
        <f t="shared" si="4"/>
        <v>8</v>
      </c>
      <c r="L14" s="16">
        <f>141+138</f>
        <v>279</v>
      </c>
      <c r="M14" s="17">
        <f>53+71</f>
        <v>124</v>
      </c>
      <c r="N14" s="18">
        <f t="shared" si="5"/>
        <v>403</v>
      </c>
      <c r="O14" s="19">
        <f>2+0</f>
        <v>2</v>
      </c>
      <c r="P14" s="117">
        <v>4</v>
      </c>
      <c r="Q14" s="16">
        <f>142+130</f>
        <v>272</v>
      </c>
      <c r="R14" s="17">
        <f>72+68</f>
        <v>140</v>
      </c>
      <c r="S14" s="18">
        <f t="shared" si="6"/>
        <v>412</v>
      </c>
      <c r="T14" s="19">
        <f>3+3</f>
        <v>6</v>
      </c>
      <c r="U14" s="6">
        <v>4</v>
      </c>
    </row>
    <row r="15" spans="1:21" ht="18" customHeight="1">
      <c r="A15" s="218">
        <f aca="true" t="shared" si="7" ref="A15:A21">A14+1</f>
        <v>3</v>
      </c>
      <c r="B15" s="205"/>
      <c r="C15" s="181" t="s">
        <v>97</v>
      </c>
      <c r="D15" s="206" t="s">
        <v>98</v>
      </c>
      <c r="E15" s="192" t="s">
        <v>358</v>
      </c>
      <c r="F15" s="202">
        <f t="shared" si="0"/>
        <v>419</v>
      </c>
      <c r="G15" s="202">
        <f t="shared" si="1"/>
        <v>384</v>
      </c>
      <c r="H15" s="125">
        <f t="shared" si="2"/>
        <v>803</v>
      </c>
      <c r="I15" s="202">
        <f t="shared" si="3"/>
        <v>260</v>
      </c>
      <c r="J15" s="202">
        <f t="shared" si="4"/>
        <v>9</v>
      </c>
      <c r="L15" s="16">
        <f>137+136</f>
        <v>273</v>
      </c>
      <c r="M15" s="17">
        <f>80+66</f>
        <v>146</v>
      </c>
      <c r="N15" s="18">
        <f t="shared" si="5"/>
        <v>419</v>
      </c>
      <c r="O15" s="19">
        <f>1+2</f>
        <v>3</v>
      </c>
      <c r="P15" s="117">
        <v>2</v>
      </c>
      <c r="Q15" s="16">
        <f>147+123</f>
        <v>270</v>
      </c>
      <c r="R15" s="17">
        <f>51+63</f>
        <v>114</v>
      </c>
      <c r="S15" s="18">
        <f t="shared" si="6"/>
        <v>384</v>
      </c>
      <c r="T15" s="19">
        <f>5+1</f>
        <v>6</v>
      </c>
      <c r="U15" s="6">
        <v>1</v>
      </c>
    </row>
    <row r="16" spans="1:21" ht="18" customHeight="1">
      <c r="A16" s="219">
        <f t="shared" si="7"/>
        <v>4</v>
      </c>
      <c r="B16" s="207"/>
      <c r="C16" s="181" t="s">
        <v>306</v>
      </c>
      <c r="D16" s="123" t="s">
        <v>307</v>
      </c>
      <c r="E16" s="193" t="s">
        <v>40</v>
      </c>
      <c r="F16" s="208">
        <f t="shared" si="0"/>
        <v>427</v>
      </c>
      <c r="G16" s="208">
        <f t="shared" si="1"/>
        <v>372</v>
      </c>
      <c r="H16" s="209">
        <f t="shared" si="2"/>
        <v>799</v>
      </c>
      <c r="I16" s="208">
        <f t="shared" si="3"/>
        <v>244</v>
      </c>
      <c r="J16" s="208">
        <f t="shared" si="4"/>
        <v>9</v>
      </c>
      <c r="L16" s="16">
        <f>149+141</f>
        <v>290</v>
      </c>
      <c r="M16" s="17">
        <f>76+61</f>
        <v>137</v>
      </c>
      <c r="N16" s="18">
        <f t="shared" si="5"/>
        <v>427</v>
      </c>
      <c r="O16" s="19">
        <f>1+2</f>
        <v>3</v>
      </c>
      <c r="P16" s="117">
        <v>1</v>
      </c>
      <c r="Q16" s="16">
        <f>130+135</f>
        <v>265</v>
      </c>
      <c r="R16" s="17">
        <f>63+44</f>
        <v>107</v>
      </c>
      <c r="S16" s="18">
        <f t="shared" si="6"/>
        <v>372</v>
      </c>
      <c r="T16" s="19">
        <f>1+5</f>
        <v>6</v>
      </c>
      <c r="U16" s="6">
        <v>2</v>
      </c>
    </row>
    <row r="17" spans="1:21" ht="18" customHeight="1">
      <c r="A17" s="217">
        <f t="shared" si="7"/>
        <v>5</v>
      </c>
      <c r="B17" s="200"/>
      <c r="C17" s="181" t="s">
        <v>92</v>
      </c>
      <c r="D17" s="206" t="s">
        <v>93</v>
      </c>
      <c r="E17" s="192" t="s">
        <v>33</v>
      </c>
      <c r="F17" s="202">
        <f t="shared" si="0"/>
        <v>386</v>
      </c>
      <c r="G17" s="202">
        <f t="shared" si="1"/>
        <v>413</v>
      </c>
      <c r="H17" s="125">
        <f t="shared" si="2"/>
        <v>799</v>
      </c>
      <c r="I17" s="202">
        <f t="shared" si="3"/>
        <v>234</v>
      </c>
      <c r="J17" s="202">
        <f t="shared" si="4"/>
        <v>10</v>
      </c>
      <c r="L17" s="16">
        <f>135+134</f>
        <v>269</v>
      </c>
      <c r="M17" s="17">
        <f>63+54</f>
        <v>117</v>
      </c>
      <c r="N17" s="18">
        <f t="shared" si="5"/>
        <v>386</v>
      </c>
      <c r="O17" s="19">
        <f>2+4</f>
        <v>6</v>
      </c>
      <c r="P17" s="117">
        <v>3</v>
      </c>
      <c r="Q17" s="16">
        <f>144+152</f>
        <v>296</v>
      </c>
      <c r="R17" s="17">
        <f>54+63</f>
        <v>117</v>
      </c>
      <c r="S17" s="18">
        <f t="shared" si="6"/>
        <v>413</v>
      </c>
      <c r="T17" s="19">
        <f>1+3</f>
        <v>4</v>
      </c>
      <c r="U17" s="6">
        <v>3</v>
      </c>
    </row>
    <row r="18" spans="1:21" ht="18" customHeight="1">
      <c r="A18" s="218">
        <f t="shared" si="7"/>
        <v>6</v>
      </c>
      <c r="B18" s="205"/>
      <c r="C18" s="182" t="s">
        <v>283</v>
      </c>
      <c r="D18" s="210" t="s">
        <v>284</v>
      </c>
      <c r="E18" s="192" t="s">
        <v>76</v>
      </c>
      <c r="F18" s="204">
        <f t="shared" si="0"/>
        <v>363</v>
      </c>
      <c r="G18" s="204">
        <f t="shared" si="1"/>
        <v>388</v>
      </c>
      <c r="H18" s="135">
        <f t="shared" si="2"/>
        <v>751</v>
      </c>
      <c r="I18" s="204">
        <f t="shared" si="3"/>
        <v>217</v>
      </c>
      <c r="J18" s="204">
        <f t="shared" si="4"/>
        <v>21</v>
      </c>
      <c r="L18" s="16">
        <f>121+131</f>
        <v>252</v>
      </c>
      <c r="M18" s="17">
        <f>50+61</f>
        <v>111</v>
      </c>
      <c r="N18" s="18">
        <f t="shared" si="5"/>
        <v>363</v>
      </c>
      <c r="O18" s="19">
        <f>6+6</f>
        <v>12</v>
      </c>
      <c r="P18" s="117">
        <v>2</v>
      </c>
      <c r="Q18" s="16">
        <f>149+133</f>
        <v>282</v>
      </c>
      <c r="R18" s="17">
        <f>45+61</f>
        <v>106</v>
      </c>
      <c r="S18" s="18">
        <f t="shared" si="6"/>
        <v>388</v>
      </c>
      <c r="T18" s="19">
        <f>4+5</f>
        <v>9</v>
      </c>
      <c r="U18" s="6">
        <v>4</v>
      </c>
    </row>
    <row r="19" spans="1:21" ht="18" customHeight="1">
      <c r="A19" s="218">
        <f t="shared" si="7"/>
        <v>7</v>
      </c>
      <c r="B19" s="211"/>
      <c r="C19" s="182" t="s">
        <v>288</v>
      </c>
      <c r="D19" s="212" t="s">
        <v>287</v>
      </c>
      <c r="E19" s="192" t="s">
        <v>17</v>
      </c>
      <c r="F19" s="202">
        <f t="shared" si="0"/>
        <v>393</v>
      </c>
      <c r="G19" s="202">
        <f t="shared" si="1"/>
        <v>346</v>
      </c>
      <c r="H19" s="125">
        <f t="shared" si="2"/>
        <v>739</v>
      </c>
      <c r="I19" s="202">
        <f t="shared" si="3"/>
        <v>222</v>
      </c>
      <c r="J19" s="202">
        <f t="shared" si="4"/>
        <v>21</v>
      </c>
      <c r="L19" s="16">
        <f>135+134</f>
        <v>269</v>
      </c>
      <c r="M19" s="17">
        <f>53+71</f>
        <v>124</v>
      </c>
      <c r="N19" s="18">
        <f t="shared" si="5"/>
        <v>393</v>
      </c>
      <c r="O19" s="19">
        <f>5+2</f>
        <v>7</v>
      </c>
      <c r="P19" s="117">
        <v>1</v>
      </c>
      <c r="Q19" s="16">
        <f>122+126</f>
        <v>248</v>
      </c>
      <c r="R19" s="17">
        <f>53+45</f>
        <v>98</v>
      </c>
      <c r="S19" s="18">
        <f t="shared" si="6"/>
        <v>346</v>
      </c>
      <c r="T19" s="19">
        <f>7+7</f>
        <v>14</v>
      </c>
      <c r="U19" s="6">
        <v>1</v>
      </c>
    </row>
    <row r="20" spans="1:21" ht="18" customHeight="1" thickBot="1">
      <c r="A20" s="220">
        <f t="shared" si="7"/>
        <v>8</v>
      </c>
      <c r="B20" s="213"/>
      <c r="C20" s="183" t="s">
        <v>286</v>
      </c>
      <c r="D20" s="195" t="s">
        <v>287</v>
      </c>
      <c r="E20" s="196" t="s">
        <v>81</v>
      </c>
      <c r="F20" s="214">
        <f t="shared" si="0"/>
        <v>323</v>
      </c>
      <c r="G20" s="214">
        <f t="shared" si="1"/>
        <v>322</v>
      </c>
      <c r="H20" s="142">
        <f t="shared" si="2"/>
        <v>645</v>
      </c>
      <c r="I20" s="214">
        <f t="shared" si="3"/>
        <v>183</v>
      </c>
      <c r="J20" s="214">
        <f t="shared" si="4"/>
        <v>28</v>
      </c>
      <c r="L20" s="16">
        <f>118+119</f>
        <v>237</v>
      </c>
      <c r="M20" s="17">
        <f>41+45</f>
        <v>86</v>
      </c>
      <c r="N20" s="18">
        <f t="shared" si="5"/>
        <v>323</v>
      </c>
      <c r="O20" s="19">
        <f>8+5</f>
        <v>13</v>
      </c>
      <c r="P20" s="117">
        <v>2</v>
      </c>
      <c r="Q20" s="16">
        <f>115+110</f>
        <v>225</v>
      </c>
      <c r="R20" s="17">
        <f>53+44</f>
        <v>97</v>
      </c>
      <c r="S20" s="18">
        <f t="shared" si="6"/>
        <v>322</v>
      </c>
      <c r="T20" s="19">
        <f>5+10</f>
        <v>15</v>
      </c>
      <c r="U20" s="6">
        <v>2</v>
      </c>
    </row>
    <row r="21" spans="1:21" ht="18" customHeight="1">
      <c r="A21" s="216">
        <f t="shared" si="7"/>
        <v>9</v>
      </c>
      <c r="B21" s="215"/>
      <c r="C21" s="86" t="s">
        <v>281</v>
      </c>
      <c r="D21" s="88" t="s">
        <v>282</v>
      </c>
      <c r="E21" s="55" t="s">
        <v>76</v>
      </c>
      <c r="F21" s="189">
        <f t="shared" si="0"/>
        <v>394</v>
      </c>
      <c r="G21" s="189" t="s">
        <v>359</v>
      </c>
      <c r="H21" s="22">
        <f t="shared" si="2"/>
        <v>394</v>
      </c>
      <c r="I21" s="189">
        <f t="shared" si="3"/>
        <v>129</v>
      </c>
      <c r="J21" s="189">
        <f t="shared" si="4"/>
        <v>3</v>
      </c>
      <c r="L21" s="16">
        <f>138+127</f>
        <v>265</v>
      </c>
      <c r="M21" s="17">
        <f>59+70</f>
        <v>129</v>
      </c>
      <c r="N21" s="18">
        <f t="shared" si="5"/>
        <v>394</v>
      </c>
      <c r="O21" s="19">
        <f>0+3</f>
        <v>3</v>
      </c>
      <c r="P21" s="117">
        <v>1</v>
      </c>
      <c r="Q21" s="16">
        <f>0</f>
        <v>0</v>
      </c>
      <c r="R21" s="17">
        <f>0</f>
        <v>0</v>
      </c>
      <c r="S21" s="18">
        <f t="shared" si="6"/>
        <v>0</v>
      </c>
      <c r="T21" s="19"/>
      <c r="U21" s="6">
        <v>3</v>
      </c>
    </row>
    <row r="22" spans="1:21" ht="18" customHeight="1">
      <c r="A22" s="24">
        <v>10</v>
      </c>
      <c r="B22" s="73"/>
      <c r="C22" s="34" t="s">
        <v>289</v>
      </c>
      <c r="D22" s="65" t="s">
        <v>293</v>
      </c>
      <c r="E22" s="69" t="s">
        <v>32</v>
      </c>
      <c r="F22" s="191" t="s">
        <v>356</v>
      </c>
      <c r="G22" s="14">
        <f>SUM(S22)</f>
        <v>0</v>
      </c>
      <c r="H22" s="15">
        <f>SUM(F22:G22)</f>
        <v>0</v>
      </c>
      <c r="I22" s="14">
        <f>SUM(M22+R22)</f>
        <v>0</v>
      </c>
      <c r="J22" s="14">
        <f>SUM(O22+T22)</f>
        <v>0</v>
      </c>
      <c r="L22" s="16"/>
      <c r="M22" s="17"/>
      <c r="N22" s="18">
        <f>SUM(L22:M22)</f>
        <v>0</v>
      </c>
      <c r="O22" s="19"/>
      <c r="P22" s="117">
        <v>2</v>
      </c>
      <c r="Q22" s="16"/>
      <c r="R22" s="17"/>
      <c r="S22" s="18">
        <f>SUM(Q22:R22)</f>
        <v>0</v>
      </c>
      <c r="T22" s="19"/>
      <c r="U22" s="6">
        <v>4</v>
      </c>
    </row>
    <row r="23" spans="1:20" ht="12.75">
      <c r="A23" s="12"/>
      <c r="B23" s="36"/>
      <c r="C23" s="5"/>
      <c r="D23" s="28"/>
      <c r="E23" s="10"/>
      <c r="F23" s="37"/>
      <c r="G23" s="37"/>
      <c r="H23" s="29"/>
      <c r="I23" s="37"/>
      <c r="J23" s="37"/>
      <c r="L23" s="12"/>
      <c r="M23" s="12"/>
      <c r="N23" s="30"/>
      <c r="O23" s="12"/>
      <c r="P23" s="95"/>
      <c r="Q23" s="12"/>
      <c r="R23" s="12"/>
      <c r="S23" s="30"/>
      <c r="T23" s="12"/>
    </row>
    <row r="24" spans="1:20" ht="12.75">
      <c r="A24" t="s">
        <v>174</v>
      </c>
      <c r="B24" s="36"/>
      <c r="F24" s="37"/>
      <c r="G24" s="37"/>
      <c r="H24" s="29"/>
      <c r="I24" s="37"/>
      <c r="J24" s="37"/>
      <c r="L24" s="12"/>
      <c r="M24" s="12"/>
      <c r="N24" s="30"/>
      <c r="O24" s="12"/>
      <c r="P24" s="95"/>
      <c r="Q24" s="12"/>
      <c r="R24" s="12"/>
      <c r="S24" s="30"/>
      <c r="T24" s="12"/>
    </row>
    <row r="25" spans="4:5" ht="12.75">
      <c r="D25" s="6"/>
      <c r="E25" s="7"/>
    </row>
    <row r="26" spans="1:5" ht="12.75">
      <c r="A26" s="8" t="s">
        <v>158</v>
      </c>
      <c r="D26" s="6"/>
      <c r="E26" s="7"/>
    </row>
    <row r="27" ht="12.75">
      <c r="A27" s="9" t="s">
        <v>157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.7109375" style="0" customWidth="1"/>
    <col min="2" max="2" width="15.421875" style="0" customWidth="1"/>
  </cols>
  <sheetData>
    <row r="1" spans="1:2" ht="12.75">
      <c r="A1" s="105">
        <v>1</v>
      </c>
      <c r="B1" s="106" t="s">
        <v>20</v>
      </c>
    </row>
    <row r="2" spans="1:3" ht="12.75">
      <c r="A2" s="102">
        <v>2</v>
      </c>
      <c r="B2" s="103" t="s">
        <v>21</v>
      </c>
      <c r="C2" t="s">
        <v>127</v>
      </c>
    </row>
    <row r="3" spans="1:2" ht="12.75">
      <c r="A3" s="107">
        <v>3</v>
      </c>
      <c r="B3" s="109" t="s">
        <v>18</v>
      </c>
    </row>
    <row r="4" spans="1:3" ht="12.75">
      <c r="A4" s="102">
        <v>4</v>
      </c>
      <c r="B4" s="103" t="s">
        <v>22</v>
      </c>
      <c r="C4" t="s">
        <v>127</v>
      </c>
    </row>
    <row r="5" spans="1:2" ht="12.75">
      <c r="A5" s="107">
        <v>5</v>
      </c>
      <c r="B5" s="110" t="s">
        <v>24</v>
      </c>
    </row>
    <row r="6" spans="1:2" ht="12.75">
      <c r="A6" s="107">
        <v>6</v>
      </c>
      <c r="B6" s="111" t="s">
        <v>27</v>
      </c>
    </row>
    <row r="7" spans="1:2" ht="12.75">
      <c r="A7" s="107">
        <v>7</v>
      </c>
      <c r="B7" s="111" t="s">
        <v>26</v>
      </c>
    </row>
    <row r="8" spans="1:2" ht="12.75">
      <c r="A8" s="107">
        <v>8</v>
      </c>
      <c r="B8" s="109" t="s">
        <v>28</v>
      </c>
    </row>
    <row r="9" spans="1:2" ht="12.75">
      <c r="A9" s="107">
        <v>9</v>
      </c>
      <c r="B9" s="109" t="s">
        <v>25</v>
      </c>
    </row>
    <row r="10" spans="1:3" ht="12.75">
      <c r="A10" s="102">
        <v>10</v>
      </c>
      <c r="B10" s="104" t="s">
        <v>29</v>
      </c>
      <c r="C10" t="s">
        <v>127</v>
      </c>
    </row>
    <row r="11" spans="1:3" ht="12.75">
      <c r="A11" s="102">
        <v>11</v>
      </c>
      <c r="B11" s="104" t="s">
        <v>16</v>
      </c>
      <c r="C11" t="s">
        <v>127</v>
      </c>
    </row>
    <row r="12" spans="1:2" ht="12.75">
      <c r="A12" s="105">
        <v>12</v>
      </c>
      <c r="B12" s="106" t="s">
        <v>17</v>
      </c>
    </row>
    <row r="13" spans="1:2" ht="12.75">
      <c r="A13" s="107">
        <v>13</v>
      </c>
      <c r="B13" s="108" t="s">
        <v>19</v>
      </c>
    </row>
    <row r="14" spans="1:2" ht="12.75">
      <c r="A14" s="107">
        <v>14</v>
      </c>
      <c r="B14" s="109" t="s">
        <v>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8">
      <selection activeCell="S36" sqref="S36"/>
    </sheetView>
  </sheetViews>
  <sheetFormatPr defaultColWidth="11.421875" defaultRowHeight="12.75"/>
  <cols>
    <col min="1" max="1" width="4.57421875" style="0" customWidth="1"/>
    <col min="2" max="2" width="20.8515625" style="0" bestFit="1" customWidth="1"/>
    <col min="3" max="3" width="5.8515625" style="0" customWidth="1"/>
    <col min="4" max="4" width="12.7109375" style="0" customWidth="1"/>
    <col min="5" max="5" width="7.28125" style="0" customWidth="1"/>
    <col min="6" max="7" width="7.140625" style="0" customWidth="1"/>
    <col min="8" max="8" width="5.28125" style="0" customWidth="1"/>
    <col min="9" max="9" width="5.8515625" style="0" customWidth="1"/>
    <col min="10" max="10" width="6.140625" style="0" customWidth="1"/>
    <col min="11" max="19" width="5.7109375" style="0" customWidth="1"/>
  </cols>
  <sheetData>
    <row r="1" spans="1:9" ht="15.75" customHeight="1">
      <c r="A1" s="1" t="str">
        <f>'[1]U18'!A1</f>
        <v>Kreismeisterschaft 2013  -  T S V   N e u h a u s</v>
      </c>
      <c r="B1" s="1"/>
      <c r="C1" s="1"/>
      <c r="D1" s="2"/>
      <c r="E1" s="1"/>
      <c r="F1" s="1"/>
      <c r="G1" s="1"/>
      <c r="H1" s="3"/>
      <c r="I1" s="3"/>
    </row>
    <row r="2" spans="1:9" ht="15">
      <c r="A2" s="1" t="s">
        <v>373</v>
      </c>
      <c r="B2" s="1"/>
      <c r="C2" s="1"/>
      <c r="D2" s="2"/>
      <c r="E2" s="1"/>
      <c r="F2" s="1"/>
      <c r="G2" s="1"/>
      <c r="H2" s="3"/>
      <c r="I2" s="3"/>
    </row>
    <row r="3" spans="1:9" ht="15">
      <c r="A3" s="297" t="str">
        <f>'[1]U18'!A3</f>
        <v>26.  /  27.  Januar  2013</v>
      </c>
      <c r="B3" s="297"/>
      <c r="C3" s="297"/>
      <c r="D3" s="297"/>
      <c r="E3" s="297"/>
      <c r="F3" s="297"/>
      <c r="G3" s="297"/>
      <c r="H3" s="297"/>
      <c r="I3" s="297"/>
    </row>
    <row r="4" spans="1:9" ht="13.5" customHeight="1">
      <c r="A4" s="1"/>
      <c r="B4" s="1"/>
      <c r="C4" s="1"/>
      <c r="D4" s="2"/>
      <c r="E4" s="1"/>
      <c r="F4" s="1"/>
      <c r="G4" s="1"/>
      <c r="H4" s="3"/>
      <c r="I4" s="3"/>
    </row>
    <row r="5" spans="1:9" ht="15.75" customHeight="1">
      <c r="A5" s="304" t="s">
        <v>374</v>
      </c>
      <c r="B5" s="3"/>
      <c r="C5" s="3"/>
      <c r="D5" s="4"/>
      <c r="E5" s="3"/>
      <c r="F5" s="3"/>
      <c r="G5" s="3"/>
      <c r="H5" s="3"/>
      <c r="I5" s="3"/>
    </row>
    <row r="6" spans="1:9" ht="15.75" customHeight="1">
      <c r="A6" s="305" t="s">
        <v>375</v>
      </c>
      <c r="B6" s="305"/>
      <c r="C6" s="305"/>
      <c r="D6" s="305"/>
      <c r="E6" s="305"/>
      <c r="F6" s="305"/>
      <c r="G6" s="305"/>
      <c r="H6" s="305"/>
      <c r="I6" s="305"/>
    </row>
    <row r="7" spans="1:9" ht="12.75" customHeight="1">
      <c r="A7" s="306"/>
      <c r="B7" s="306"/>
      <c r="C7" s="306"/>
      <c r="D7" s="306"/>
      <c r="E7" s="306"/>
      <c r="F7" s="306"/>
      <c r="G7" s="306"/>
      <c r="H7" s="306"/>
      <c r="I7" s="306"/>
    </row>
    <row r="8" spans="1:19" s="35" customFormat="1" ht="15.75" customHeight="1">
      <c r="A8" s="304" t="s">
        <v>376</v>
      </c>
      <c r="B8" s="3"/>
      <c r="C8" s="3"/>
      <c r="D8" s="4"/>
      <c r="E8" s="3"/>
      <c r="F8" s="3"/>
      <c r="G8" s="3"/>
      <c r="H8" s="3"/>
      <c r="I8" s="3"/>
      <c r="J8"/>
      <c r="K8"/>
      <c r="L8"/>
      <c r="M8"/>
      <c r="N8"/>
      <c r="O8"/>
      <c r="P8"/>
      <c r="Q8"/>
      <c r="R8"/>
      <c r="S8"/>
    </row>
    <row r="9" spans="1:19" s="35" customFormat="1" ht="15.75" customHeight="1">
      <c r="A9" s="305" t="s">
        <v>377</v>
      </c>
      <c r="B9" s="305"/>
      <c r="C9" s="305"/>
      <c r="D9" s="305"/>
      <c r="E9" s="305"/>
      <c r="F9" s="305"/>
      <c r="G9" s="305"/>
      <c r="H9" s="305"/>
      <c r="I9" s="305"/>
      <c r="J9"/>
      <c r="K9"/>
      <c r="L9"/>
      <c r="M9"/>
      <c r="N9"/>
      <c r="O9"/>
      <c r="P9"/>
      <c r="Q9"/>
      <c r="R9"/>
      <c r="S9"/>
    </row>
    <row r="10" ht="12.75">
      <c r="J10" s="306"/>
    </row>
    <row r="11" spans="1:19" ht="12.75">
      <c r="A11" s="307"/>
      <c r="B11" s="39"/>
      <c r="C11" s="40"/>
      <c r="D11" s="41" t="s">
        <v>0</v>
      </c>
      <c r="E11" s="39"/>
      <c r="F11" s="38"/>
      <c r="G11" s="39"/>
      <c r="H11" s="38"/>
      <c r="I11" s="42"/>
      <c r="K11" s="298" t="s">
        <v>11</v>
      </c>
      <c r="L11" s="299"/>
      <c r="M11" s="299"/>
      <c r="N11" s="300"/>
      <c r="P11" s="298" t="s">
        <v>12</v>
      </c>
      <c r="Q11" s="299"/>
      <c r="R11" s="299"/>
      <c r="S11" s="300"/>
    </row>
    <row r="12" spans="1:19" ht="12.75" customHeight="1">
      <c r="A12" s="308" t="s">
        <v>1</v>
      </c>
      <c r="B12" s="45" t="s">
        <v>3</v>
      </c>
      <c r="C12" s="46" t="s">
        <v>4</v>
      </c>
      <c r="D12" s="47" t="s">
        <v>5</v>
      </c>
      <c r="E12" s="48" t="s">
        <v>6</v>
      </c>
      <c r="F12" s="49" t="s">
        <v>7</v>
      </c>
      <c r="G12" s="50" t="s">
        <v>8</v>
      </c>
      <c r="H12" s="43" t="s">
        <v>9</v>
      </c>
      <c r="I12" s="46" t="s">
        <v>10</v>
      </c>
      <c r="K12" s="51" t="s">
        <v>13</v>
      </c>
      <c r="L12" s="52" t="s">
        <v>14</v>
      </c>
      <c r="M12" s="53" t="s">
        <v>15</v>
      </c>
      <c r="N12" s="54" t="s">
        <v>10</v>
      </c>
      <c r="O12" s="11"/>
      <c r="P12" s="51" t="s">
        <v>13</v>
      </c>
      <c r="Q12" s="52" t="s">
        <v>14</v>
      </c>
      <c r="R12" s="53" t="s">
        <v>15</v>
      </c>
      <c r="S12" s="54" t="s">
        <v>10</v>
      </c>
    </row>
    <row r="13" spans="1:19" ht="18" customHeight="1">
      <c r="A13" s="309" t="s">
        <v>378</v>
      </c>
      <c r="B13" s="310"/>
      <c r="C13" s="310"/>
      <c r="D13" s="310"/>
      <c r="E13" s="310"/>
      <c r="F13" s="310"/>
      <c r="G13" s="310"/>
      <c r="H13" s="310"/>
      <c r="I13" s="311"/>
      <c r="K13" s="312"/>
      <c r="L13" s="313"/>
      <c r="M13" s="313"/>
      <c r="N13" s="314"/>
      <c r="O13" s="13"/>
      <c r="P13" s="312"/>
      <c r="Q13" s="313"/>
      <c r="R13" s="313"/>
      <c r="S13" s="314"/>
    </row>
    <row r="14" spans="1:19" ht="18" customHeight="1">
      <c r="A14" s="181">
        <v>1</v>
      </c>
      <c r="B14" s="181" t="s">
        <v>379</v>
      </c>
      <c r="C14" s="315" t="s">
        <v>380</v>
      </c>
      <c r="D14" s="316" t="s">
        <v>33</v>
      </c>
      <c r="E14" s="124">
        <f>SUM(M14)</f>
        <v>401</v>
      </c>
      <c r="F14" s="124">
        <f>SUM(R14)</f>
        <v>360</v>
      </c>
      <c r="G14" s="125">
        <f>SUM(E14:F14)</f>
        <v>761</v>
      </c>
      <c r="H14" s="124">
        <f aca="true" t="shared" si="0" ref="H14:H19">SUM(L14+Q14)</f>
        <v>243</v>
      </c>
      <c r="I14" s="124">
        <f>SUM(N14+S14)</f>
        <v>21</v>
      </c>
      <c r="K14" s="16">
        <v>264</v>
      </c>
      <c r="L14" s="174">
        <v>137</v>
      </c>
      <c r="M14" s="175">
        <f aca="true" t="shared" si="1" ref="M14:M19">SUM(K14:L14)</f>
        <v>401</v>
      </c>
      <c r="N14" s="176">
        <v>8</v>
      </c>
      <c r="O14" s="11"/>
      <c r="P14" s="173">
        <v>254</v>
      </c>
      <c r="Q14" s="174">
        <v>106</v>
      </c>
      <c r="R14" s="175">
        <f aca="true" t="shared" si="2" ref="R14:R19">SUM(P14:Q14)</f>
        <v>360</v>
      </c>
      <c r="S14" s="176">
        <v>13</v>
      </c>
    </row>
    <row r="15" spans="1:19" ht="18" customHeight="1">
      <c r="A15" s="181">
        <v>2</v>
      </c>
      <c r="B15" s="181" t="s">
        <v>381</v>
      </c>
      <c r="C15" s="317" t="s">
        <v>382</v>
      </c>
      <c r="D15" s="318" t="s">
        <v>32</v>
      </c>
      <c r="E15" s="194">
        <v>361</v>
      </c>
      <c r="F15" s="194">
        <f>SUM(R15)</f>
        <v>350</v>
      </c>
      <c r="G15" s="209">
        <f>SUM(E15:F15)</f>
        <v>711</v>
      </c>
      <c r="H15" s="124">
        <f t="shared" si="0"/>
        <v>186</v>
      </c>
      <c r="I15" s="194">
        <v>9</v>
      </c>
      <c r="K15" s="319">
        <v>253</v>
      </c>
      <c r="L15" s="320">
        <v>108</v>
      </c>
      <c r="M15" s="321">
        <f t="shared" si="1"/>
        <v>361</v>
      </c>
      <c r="N15" s="322">
        <v>9</v>
      </c>
      <c r="O15" s="323"/>
      <c r="P15" s="319">
        <v>272</v>
      </c>
      <c r="Q15" s="320">
        <v>78</v>
      </c>
      <c r="R15" s="321">
        <f t="shared" si="2"/>
        <v>350</v>
      </c>
      <c r="S15" s="322">
        <v>18</v>
      </c>
    </row>
    <row r="16" spans="1:19" ht="18" customHeight="1">
      <c r="A16" s="181">
        <v>3</v>
      </c>
      <c r="B16" s="181" t="s">
        <v>383</v>
      </c>
      <c r="C16" s="324" t="s">
        <v>384</v>
      </c>
      <c r="D16" s="325" t="s">
        <v>385</v>
      </c>
      <c r="E16" s="124">
        <f>SUM(M16)</f>
        <v>338</v>
      </c>
      <c r="F16" s="124">
        <f>SUM(R16)</f>
        <v>336</v>
      </c>
      <c r="G16" s="125">
        <f>SUM(E16:F16)</f>
        <v>674</v>
      </c>
      <c r="H16" s="124">
        <f t="shared" si="0"/>
        <v>173</v>
      </c>
      <c r="I16" s="124">
        <f>SUM(N16+S16)</f>
        <v>35</v>
      </c>
      <c r="K16" s="16">
        <v>260</v>
      </c>
      <c r="L16" s="17">
        <v>78</v>
      </c>
      <c r="M16" s="18">
        <v>338</v>
      </c>
      <c r="N16" s="19">
        <v>19</v>
      </c>
      <c r="O16" s="12"/>
      <c r="P16" s="16">
        <v>241</v>
      </c>
      <c r="Q16" s="17">
        <v>95</v>
      </c>
      <c r="R16" s="18">
        <f t="shared" si="2"/>
        <v>336</v>
      </c>
      <c r="S16" s="19">
        <v>16</v>
      </c>
    </row>
    <row r="17" spans="1:19" ht="18" customHeight="1">
      <c r="A17" s="34">
        <v>4</v>
      </c>
      <c r="B17" s="34" t="s">
        <v>386</v>
      </c>
      <c r="C17" s="326" t="s">
        <v>387</v>
      </c>
      <c r="D17" s="327" t="s">
        <v>388</v>
      </c>
      <c r="E17" s="21">
        <v>248</v>
      </c>
      <c r="F17" s="21">
        <f>SUM(R17)</f>
        <v>300</v>
      </c>
      <c r="G17" s="22">
        <f>SUM(E17:F17)</f>
        <v>548</v>
      </c>
      <c r="H17" s="14">
        <f t="shared" si="0"/>
        <v>147</v>
      </c>
      <c r="I17" s="21">
        <v>30</v>
      </c>
      <c r="K17" s="16">
        <v>186</v>
      </c>
      <c r="L17" s="17">
        <v>62</v>
      </c>
      <c r="M17" s="18">
        <f t="shared" si="1"/>
        <v>248</v>
      </c>
      <c r="N17" s="19">
        <v>30</v>
      </c>
      <c r="O17" s="11"/>
      <c r="P17" s="16">
        <v>215</v>
      </c>
      <c r="Q17" s="17">
        <v>85</v>
      </c>
      <c r="R17" s="18">
        <f t="shared" si="2"/>
        <v>300</v>
      </c>
      <c r="S17" s="19">
        <v>27</v>
      </c>
    </row>
    <row r="18" spans="1:19" ht="18" customHeight="1">
      <c r="A18" s="34">
        <v>5</v>
      </c>
      <c r="B18" s="34" t="s">
        <v>389</v>
      </c>
      <c r="C18" s="328" t="s">
        <v>390</v>
      </c>
      <c r="D18" s="329" t="s">
        <v>37</v>
      </c>
      <c r="E18" s="21">
        <v>325</v>
      </c>
      <c r="F18" s="21">
        <v>135</v>
      </c>
      <c r="G18" s="22">
        <v>460</v>
      </c>
      <c r="H18" s="14">
        <f t="shared" si="0"/>
        <v>85</v>
      </c>
      <c r="I18" s="21">
        <v>27</v>
      </c>
      <c r="K18" s="16">
        <v>263</v>
      </c>
      <c r="L18" s="17">
        <v>62</v>
      </c>
      <c r="M18" s="18">
        <f t="shared" si="1"/>
        <v>325</v>
      </c>
      <c r="N18" s="19">
        <v>21</v>
      </c>
      <c r="O18" s="12"/>
      <c r="P18" s="16">
        <v>112</v>
      </c>
      <c r="Q18" s="17">
        <v>23</v>
      </c>
      <c r="R18" s="18">
        <f t="shared" si="2"/>
        <v>135</v>
      </c>
      <c r="S18" s="19">
        <v>6</v>
      </c>
    </row>
    <row r="19" spans="1:19" ht="18" customHeight="1" thickBot="1">
      <c r="A19" s="330">
        <v>6</v>
      </c>
      <c r="B19" s="70" t="s">
        <v>391</v>
      </c>
      <c r="C19" s="331" t="s">
        <v>384</v>
      </c>
      <c r="D19" s="332" t="s">
        <v>38</v>
      </c>
      <c r="E19" s="333">
        <v>189</v>
      </c>
      <c r="F19" s="333"/>
      <c r="G19" s="334">
        <v>189</v>
      </c>
      <c r="H19" s="31">
        <f t="shared" si="0"/>
        <v>35</v>
      </c>
      <c r="I19" s="333">
        <v>46</v>
      </c>
      <c r="K19" s="16">
        <v>154</v>
      </c>
      <c r="L19" s="17">
        <v>35</v>
      </c>
      <c r="M19" s="18">
        <f t="shared" si="1"/>
        <v>189</v>
      </c>
      <c r="N19" s="19">
        <v>46</v>
      </c>
      <c r="O19" s="12"/>
      <c r="P19" s="16"/>
      <c r="Q19" s="17"/>
      <c r="R19" s="18">
        <f t="shared" si="2"/>
        <v>0</v>
      </c>
      <c r="S19" s="19"/>
    </row>
    <row r="20" spans="1:19" ht="18" customHeight="1">
      <c r="A20" s="335" t="s">
        <v>392</v>
      </c>
      <c r="B20" s="336"/>
      <c r="C20" s="336"/>
      <c r="D20" s="336"/>
      <c r="E20" s="337"/>
      <c r="F20" s="337"/>
      <c r="G20" s="337"/>
      <c r="H20" s="337"/>
      <c r="I20" s="338"/>
      <c r="K20" s="312"/>
      <c r="L20" s="313"/>
      <c r="M20" s="313"/>
      <c r="N20" s="314"/>
      <c r="O20" s="13"/>
      <c r="P20" s="312"/>
      <c r="Q20" s="313"/>
      <c r="R20" s="313"/>
      <c r="S20" s="314"/>
    </row>
    <row r="21" spans="1:19" ht="12.75">
      <c r="A21" s="181">
        <v>1</v>
      </c>
      <c r="B21" s="181" t="s">
        <v>393</v>
      </c>
      <c r="C21" s="315" t="s">
        <v>394</v>
      </c>
      <c r="D21" s="192" t="s">
        <v>126</v>
      </c>
      <c r="E21" s="124">
        <f>SUM(M21)</f>
        <v>373</v>
      </c>
      <c r="F21" s="124">
        <f>SUM(R21)</f>
        <v>390</v>
      </c>
      <c r="G21" s="125">
        <f>SUM(E21:F21)</f>
        <v>763</v>
      </c>
      <c r="H21" s="124">
        <f>SUM(L21+Q21)</f>
        <v>220</v>
      </c>
      <c r="I21" s="124">
        <f>SUM(N21+S21)</f>
        <v>23</v>
      </c>
      <c r="K21" s="16">
        <v>267</v>
      </c>
      <c r="L21" s="17">
        <v>106</v>
      </c>
      <c r="M21" s="18">
        <f>SUM(K21:L21)</f>
        <v>373</v>
      </c>
      <c r="N21" s="19">
        <v>12</v>
      </c>
      <c r="O21" s="11"/>
      <c r="P21" s="16">
        <v>276</v>
      </c>
      <c r="Q21" s="17">
        <v>114</v>
      </c>
      <c r="R21" s="18">
        <f>SUM(P21:Q21)</f>
        <v>390</v>
      </c>
      <c r="S21" s="19">
        <v>11</v>
      </c>
    </row>
    <row r="22" spans="1:19" ht="12.75">
      <c r="A22" s="181">
        <v>2</v>
      </c>
      <c r="B22" s="181" t="s">
        <v>395</v>
      </c>
      <c r="C22" s="315" t="s">
        <v>396</v>
      </c>
      <c r="D22" s="192" t="s">
        <v>76</v>
      </c>
      <c r="E22" s="124">
        <f>SUM(M22)</f>
        <v>344</v>
      </c>
      <c r="F22" s="124">
        <f>SUM(R22)</f>
        <v>376</v>
      </c>
      <c r="G22" s="125">
        <f>SUM(E22:F22)</f>
        <v>720</v>
      </c>
      <c r="H22" s="124">
        <f>SUM(L22+Q22)</f>
        <v>214</v>
      </c>
      <c r="I22" s="124">
        <f>SUM(N22+S22)</f>
        <v>27</v>
      </c>
      <c r="K22" s="16">
        <v>241</v>
      </c>
      <c r="L22" s="17">
        <v>103</v>
      </c>
      <c r="M22" s="18">
        <f>SUM(K22:L22)</f>
        <v>344</v>
      </c>
      <c r="N22" s="19">
        <v>14</v>
      </c>
      <c r="O22" s="11"/>
      <c r="P22" s="16">
        <v>265</v>
      </c>
      <c r="Q22" s="17">
        <v>111</v>
      </c>
      <c r="R22" s="18">
        <f>SUM(P22:Q22)</f>
        <v>376</v>
      </c>
      <c r="S22" s="19">
        <v>13</v>
      </c>
    </row>
    <row r="23" spans="1:19" ht="12.75">
      <c r="A23" s="181">
        <v>3</v>
      </c>
      <c r="B23" s="181" t="s">
        <v>397</v>
      </c>
      <c r="C23" s="315" t="s">
        <v>398</v>
      </c>
      <c r="D23" s="192" t="s">
        <v>358</v>
      </c>
      <c r="E23" s="124">
        <f>SUM(M23)</f>
        <v>330</v>
      </c>
      <c r="F23" s="124">
        <f>SUM(R23)</f>
        <v>375</v>
      </c>
      <c r="G23" s="125">
        <f>SUM(E23:F23)</f>
        <v>705</v>
      </c>
      <c r="H23" s="124">
        <f>SUM(L23+Q23)</f>
        <v>198</v>
      </c>
      <c r="I23" s="124">
        <f>SUM(N23+S23)</f>
        <v>34</v>
      </c>
      <c r="K23" s="16">
        <v>242</v>
      </c>
      <c r="L23" s="17">
        <v>88</v>
      </c>
      <c r="M23" s="18">
        <f>SUM(K23:L23)</f>
        <v>330</v>
      </c>
      <c r="N23" s="19">
        <v>21</v>
      </c>
      <c r="O23" s="11"/>
      <c r="P23" s="16">
        <v>265</v>
      </c>
      <c r="Q23" s="17">
        <v>110</v>
      </c>
      <c r="R23" s="18">
        <f>SUM(P23:Q23)</f>
        <v>375</v>
      </c>
      <c r="S23" s="19">
        <v>13</v>
      </c>
    </row>
    <row r="24" spans="1:19" ht="12.75">
      <c r="A24" s="12"/>
      <c r="D24" s="10"/>
      <c r="E24" s="249"/>
      <c r="F24" s="249"/>
      <c r="G24" s="29"/>
      <c r="H24" s="249"/>
      <c r="I24" s="249"/>
      <c r="K24" s="12"/>
      <c r="L24" s="12"/>
      <c r="M24" s="30"/>
      <c r="N24" s="12"/>
      <c r="O24" s="11"/>
      <c r="P24" s="12"/>
      <c r="Q24" s="12"/>
      <c r="R24" s="30"/>
      <c r="S24" s="12"/>
    </row>
    <row r="25" spans="1:19" ht="12.75">
      <c r="A25" s="156"/>
      <c r="B25" s="20" t="s">
        <v>399</v>
      </c>
      <c r="C25" s="339"/>
      <c r="D25" s="340"/>
      <c r="E25" s="249"/>
      <c r="F25" s="249"/>
      <c r="G25" s="29"/>
      <c r="H25" s="249"/>
      <c r="I25" s="249"/>
      <c r="K25" s="12"/>
      <c r="L25" s="12"/>
      <c r="M25" s="30"/>
      <c r="N25" s="12"/>
      <c r="O25" s="11"/>
      <c r="P25" s="12"/>
      <c r="Q25" s="12"/>
      <c r="R25" s="30"/>
      <c r="S25" s="12"/>
    </row>
    <row r="26" spans="1:19" ht="12.75">
      <c r="A26" s="156"/>
      <c r="B26" s="20" t="s">
        <v>400</v>
      </c>
      <c r="C26" s="339"/>
      <c r="D26" s="340"/>
      <c r="E26" s="249"/>
      <c r="F26" s="249"/>
      <c r="G26" s="29"/>
      <c r="H26" s="249"/>
      <c r="I26" s="249"/>
      <c r="K26" s="12"/>
      <c r="L26" s="12"/>
      <c r="M26" s="30"/>
      <c r="N26" s="12"/>
      <c r="O26" s="11"/>
      <c r="P26" s="12"/>
      <c r="Q26" s="12"/>
      <c r="R26" s="30"/>
      <c r="S26" s="12"/>
    </row>
    <row r="27" spans="1:19" ht="12.75">
      <c r="A27" s="156"/>
      <c r="B27" s="20"/>
      <c r="C27" s="339"/>
      <c r="D27" s="340"/>
      <c r="E27" s="249"/>
      <c r="F27" s="249"/>
      <c r="G27" s="29"/>
      <c r="H27" s="249"/>
      <c r="I27" s="249"/>
      <c r="K27" s="12"/>
      <c r="L27" s="12"/>
      <c r="M27" s="30"/>
      <c r="N27" s="12"/>
      <c r="O27" s="11"/>
      <c r="P27" s="12"/>
      <c r="Q27" s="12"/>
      <c r="R27" s="30"/>
      <c r="S27" s="12"/>
    </row>
    <row r="28" spans="1:19" ht="12.75">
      <c r="A28" s="8" t="s">
        <v>401</v>
      </c>
      <c r="B28" s="12"/>
      <c r="C28" s="28"/>
      <c r="D28" s="10"/>
      <c r="E28" s="249"/>
      <c r="F28" s="249"/>
      <c r="G28" s="29"/>
      <c r="H28" s="249"/>
      <c r="I28" s="249"/>
      <c r="K28" s="12"/>
      <c r="L28" s="12"/>
      <c r="M28" s="30"/>
      <c r="N28" s="12"/>
      <c r="O28" s="11"/>
      <c r="P28" s="12"/>
      <c r="Q28" s="12"/>
      <c r="R28" s="30"/>
      <c r="S28" s="12"/>
    </row>
    <row r="29" spans="1:4" ht="12.75">
      <c r="A29" s="8" t="s">
        <v>402</v>
      </c>
      <c r="C29" s="6"/>
      <c r="D29" s="7"/>
    </row>
    <row r="30" spans="1:4" ht="12.75">
      <c r="A30" s="9" t="s">
        <v>403</v>
      </c>
      <c r="C30" s="6"/>
      <c r="D30" s="7"/>
    </row>
    <row r="31" spans="3:4" ht="12.75">
      <c r="C31" s="6"/>
      <c r="D31" s="7"/>
    </row>
  </sheetData>
  <sheetProtection/>
  <mergeCells count="7">
    <mergeCell ref="A13:I13"/>
    <mergeCell ref="A20:I20"/>
    <mergeCell ref="A3:I3"/>
    <mergeCell ref="A9:I9"/>
    <mergeCell ref="K11:N11"/>
    <mergeCell ref="P11:S11"/>
    <mergeCell ref="A6:I6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7">
      <selection activeCell="O4" sqref="O4"/>
    </sheetView>
  </sheetViews>
  <sheetFormatPr defaultColWidth="11.421875" defaultRowHeight="12.75"/>
  <cols>
    <col min="1" max="1" width="4.57421875" style="0" customWidth="1"/>
    <col min="2" max="2" width="20.8515625" style="0" bestFit="1" customWidth="1"/>
    <col min="3" max="3" width="5.8515625" style="0" customWidth="1"/>
    <col min="4" max="4" width="12.7109375" style="0" customWidth="1"/>
    <col min="5" max="5" width="7.28125" style="0" customWidth="1"/>
    <col min="6" max="7" width="7.140625" style="0" customWidth="1"/>
    <col min="8" max="8" width="5.28125" style="0" customWidth="1"/>
    <col min="9" max="9" width="5.8515625" style="0" customWidth="1"/>
    <col min="10" max="10" width="6.140625" style="0" customWidth="1"/>
    <col min="11" max="19" width="5.7109375" style="0" customWidth="1"/>
  </cols>
  <sheetData>
    <row r="1" spans="1:9" ht="15.75" customHeight="1">
      <c r="A1" s="1" t="s">
        <v>404</v>
      </c>
      <c r="B1" s="1"/>
      <c r="C1" s="1"/>
      <c r="D1" s="2"/>
      <c r="E1" s="1"/>
      <c r="F1" s="1"/>
      <c r="G1" s="1"/>
      <c r="H1" s="3"/>
      <c r="I1" s="3"/>
    </row>
    <row r="2" spans="1:9" ht="15">
      <c r="A2" s="1" t="s">
        <v>405</v>
      </c>
      <c r="B2" s="1"/>
      <c r="C2" s="1"/>
      <c r="D2" s="2"/>
      <c r="E2" s="1"/>
      <c r="F2" s="1"/>
      <c r="G2" s="1"/>
      <c r="H2" s="3"/>
      <c r="I2" s="3"/>
    </row>
    <row r="3" spans="1:9" ht="15">
      <c r="A3" s="297" t="s">
        <v>406</v>
      </c>
      <c r="B3" s="297"/>
      <c r="C3" s="297"/>
      <c r="D3" s="297"/>
      <c r="E3" s="297"/>
      <c r="F3" s="297"/>
      <c r="G3" s="297"/>
      <c r="H3" s="297"/>
      <c r="I3" s="297"/>
    </row>
    <row r="4" spans="1:9" ht="13.5" customHeight="1">
      <c r="A4" s="1"/>
      <c r="B4" s="1"/>
      <c r="C4" s="1"/>
      <c r="D4" s="2"/>
      <c r="E4" s="1"/>
      <c r="F4" s="1"/>
      <c r="G4" s="1"/>
      <c r="H4" s="3"/>
      <c r="I4" s="3"/>
    </row>
    <row r="5" spans="1:9" ht="15.75" customHeight="1">
      <c r="A5" s="341" t="s">
        <v>407</v>
      </c>
      <c r="B5" s="342"/>
      <c r="C5" s="342"/>
      <c r="D5" s="343"/>
      <c r="E5" s="342"/>
      <c r="F5" s="342"/>
      <c r="G5" s="342"/>
      <c r="H5" s="342"/>
      <c r="I5" s="342"/>
    </row>
    <row r="6" spans="1:9" ht="15.75" customHeight="1">
      <c r="A6" s="344" t="s">
        <v>408</v>
      </c>
      <c r="B6" s="344"/>
      <c r="C6" s="344"/>
      <c r="D6" s="344"/>
      <c r="E6" s="344"/>
      <c r="F6" s="344"/>
      <c r="G6" s="344"/>
      <c r="H6" s="344"/>
      <c r="I6" s="344"/>
    </row>
    <row r="7" spans="1:9" ht="12.75" customHeight="1">
      <c r="A7" s="1"/>
      <c r="B7" s="1"/>
      <c r="C7" s="1"/>
      <c r="D7" s="2"/>
      <c r="E7" s="1"/>
      <c r="F7" s="1"/>
      <c r="G7" s="1"/>
      <c r="H7" s="3"/>
      <c r="I7" s="3"/>
    </row>
    <row r="8" spans="1:9" s="35" customFormat="1" ht="15.75" customHeight="1">
      <c r="A8" s="341" t="s">
        <v>409</v>
      </c>
      <c r="B8" s="342"/>
      <c r="C8" s="342"/>
      <c r="D8" s="343"/>
      <c r="E8" s="342"/>
      <c r="F8" s="342"/>
      <c r="G8" s="342"/>
      <c r="H8" s="342"/>
      <c r="I8" s="342"/>
    </row>
    <row r="9" spans="1:9" s="35" customFormat="1" ht="15.75" customHeight="1">
      <c r="A9" s="301" t="s">
        <v>410</v>
      </c>
      <c r="B9" s="301"/>
      <c r="C9" s="301"/>
      <c r="D9" s="301"/>
      <c r="E9" s="301"/>
      <c r="F9" s="301"/>
      <c r="G9" s="301"/>
      <c r="H9" s="301"/>
      <c r="I9" s="301"/>
    </row>
    <row r="10" spans="10:19" ht="12.75">
      <c r="J10" s="306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2.75">
      <c r="A11" s="307"/>
      <c r="B11" s="39"/>
      <c r="C11" s="40"/>
      <c r="D11" s="41" t="s">
        <v>0</v>
      </c>
      <c r="E11" s="39"/>
      <c r="F11" s="38"/>
      <c r="G11" s="39"/>
      <c r="H11" s="38"/>
      <c r="I11" s="42"/>
      <c r="K11" s="298" t="s">
        <v>11</v>
      </c>
      <c r="L11" s="299"/>
      <c r="M11" s="299"/>
      <c r="N11" s="300"/>
      <c r="O11" s="156"/>
      <c r="P11" s="298" t="s">
        <v>12</v>
      </c>
      <c r="Q11" s="299"/>
      <c r="R11" s="299"/>
      <c r="S11" s="300"/>
    </row>
    <row r="12" spans="1:19" ht="12.75" customHeight="1">
      <c r="A12" s="308" t="s">
        <v>1</v>
      </c>
      <c r="B12" s="45" t="s">
        <v>3</v>
      </c>
      <c r="C12" s="46" t="s">
        <v>4</v>
      </c>
      <c r="D12" s="47" t="s">
        <v>5</v>
      </c>
      <c r="E12" s="48" t="s">
        <v>6</v>
      </c>
      <c r="F12" s="49" t="s">
        <v>7</v>
      </c>
      <c r="G12" s="50" t="s">
        <v>8</v>
      </c>
      <c r="H12" s="43" t="s">
        <v>9</v>
      </c>
      <c r="I12" s="46" t="s">
        <v>10</v>
      </c>
      <c r="K12" s="51" t="s">
        <v>13</v>
      </c>
      <c r="L12" s="52" t="s">
        <v>14</v>
      </c>
      <c r="M12" s="53" t="s">
        <v>15</v>
      </c>
      <c r="N12" s="54" t="s">
        <v>10</v>
      </c>
      <c r="O12" s="96"/>
      <c r="P12" s="51" t="s">
        <v>13</v>
      </c>
      <c r="Q12" s="52" t="s">
        <v>14</v>
      </c>
      <c r="R12" s="53" t="s">
        <v>15</v>
      </c>
      <c r="S12" s="54" t="s">
        <v>10</v>
      </c>
    </row>
    <row r="13" spans="1:19" ht="18" customHeight="1">
      <c r="A13" s="309" t="s">
        <v>411</v>
      </c>
      <c r="B13" s="310"/>
      <c r="C13" s="310"/>
      <c r="D13" s="310"/>
      <c r="E13" s="310"/>
      <c r="F13" s="310"/>
      <c r="G13" s="310"/>
      <c r="H13" s="310"/>
      <c r="I13" s="311"/>
      <c r="K13" s="312"/>
      <c r="L13" s="313"/>
      <c r="M13" s="313"/>
      <c r="N13" s="314"/>
      <c r="P13" s="312"/>
      <c r="Q13" s="313"/>
      <c r="R13" s="313"/>
      <c r="S13" s="314"/>
    </row>
    <row r="14" spans="1:19" ht="18" customHeight="1">
      <c r="A14" s="181">
        <v>1</v>
      </c>
      <c r="B14" s="181" t="s">
        <v>412</v>
      </c>
      <c r="C14" s="315" t="s">
        <v>413</v>
      </c>
      <c r="D14" s="104" t="s">
        <v>43</v>
      </c>
      <c r="E14" s="124">
        <f aca="true" t="shared" si="0" ref="E14:E23">SUM(M14)</f>
        <v>456</v>
      </c>
      <c r="F14" s="124">
        <f aca="true" t="shared" si="1" ref="F14:F24">SUM(R14)</f>
        <v>437</v>
      </c>
      <c r="G14" s="345">
        <f aca="true" t="shared" si="2" ref="G14:G24">SUM(M14+R14)</f>
        <v>893</v>
      </c>
      <c r="H14" s="124">
        <f aca="true" t="shared" si="3" ref="H14:H24">SUM(L14+Q14)</f>
        <v>307</v>
      </c>
      <c r="I14" s="124">
        <f aca="true" t="shared" si="4" ref="I14:I24">SUM(N14+S14)</f>
        <v>9</v>
      </c>
      <c r="K14" s="16">
        <v>306</v>
      </c>
      <c r="L14" s="17">
        <v>150</v>
      </c>
      <c r="M14" s="18">
        <f aca="true" t="shared" si="5" ref="M14:M24">SUM(K14:L14)</f>
        <v>456</v>
      </c>
      <c r="N14" s="19">
        <v>6</v>
      </c>
      <c r="O14" s="11"/>
      <c r="P14" s="16">
        <v>280</v>
      </c>
      <c r="Q14" s="17">
        <v>157</v>
      </c>
      <c r="R14" s="18">
        <f aca="true" t="shared" si="6" ref="R14:R24">SUM(P14:Q14)</f>
        <v>437</v>
      </c>
      <c r="S14" s="19">
        <v>3</v>
      </c>
    </row>
    <row r="15" spans="1:19" ht="18" customHeight="1">
      <c r="A15" s="181">
        <v>2</v>
      </c>
      <c r="B15" s="181" t="s">
        <v>414</v>
      </c>
      <c r="C15" s="315" t="s">
        <v>415</v>
      </c>
      <c r="D15" s="104" t="s">
        <v>388</v>
      </c>
      <c r="E15" s="124">
        <v>414</v>
      </c>
      <c r="F15" s="124">
        <f t="shared" si="1"/>
        <v>461</v>
      </c>
      <c r="G15" s="345">
        <f t="shared" si="2"/>
        <v>875</v>
      </c>
      <c r="H15" s="124">
        <f t="shared" si="3"/>
        <v>267</v>
      </c>
      <c r="I15" s="124">
        <v>7</v>
      </c>
      <c r="J15" s="346"/>
      <c r="K15" s="16">
        <v>275</v>
      </c>
      <c r="L15" s="17">
        <v>139</v>
      </c>
      <c r="M15" s="18">
        <f t="shared" si="5"/>
        <v>414</v>
      </c>
      <c r="N15" s="19">
        <v>7</v>
      </c>
      <c r="O15" s="11"/>
      <c r="P15" s="16">
        <v>333</v>
      </c>
      <c r="Q15" s="17">
        <v>128</v>
      </c>
      <c r="R15" s="18">
        <f t="shared" si="6"/>
        <v>461</v>
      </c>
      <c r="S15" s="19">
        <v>8</v>
      </c>
    </row>
    <row r="16" spans="1:19" ht="18" customHeight="1">
      <c r="A16" s="181">
        <v>3</v>
      </c>
      <c r="B16" s="181" t="s">
        <v>416</v>
      </c>
      <c r="C16" s="347" t="s">
        <v>417</v>
      </c>
      <c r="D16" s="192" t="s">
        <v>30</v>
      </c>
      <c r="E16" s="124">
        <f t="shared" si="0"/>
        <v>419</v>
      </c>
      <c r="F16" s="124">
        <f t="shared" si="1"/>
        <v>428</v>
      </c>
      <c r="G16" s="345">
        <f t="shared" si="2"/>
        <v>847</v>
      </c>
      <c r="H16" s="124">
        <f t="shared" si="3"/>
        <v>263</v>
      </c>
      <c r="I16" s="124">
        <f t="shared" si="4"/>
        <v>14</v>
      </c>
      <c r="K16" s="16">
        <v>271</v>
      </c>
      <c r="L16" s="17">
        <v>148</v>
      </c>
      <c r="M16" s="18">
        <f t="shared" si="5"/>
        <v>419</v>
      </c>
      <c r="N16" s="19">
        <v>6</v>
      </c>
      <c r="O16" s="11"/>
      <c r="P16" s="16">
        <v>313</v>
      </c>
      <c r="Q16" s="17">
        <v>115</v>
      </c>
      <c r="R16" s="18">
        <f t="shared" si="6"/>
        <v>428</v>
      </c>
      <c r="S16" s="19">
        <v>8</v>
      </c>
    </row>
    <row r="17" spans="1:19" ht="18" customHeight="1">
      <c r="A17" s="34">
        <v>4</v>
      </c>
      <c r="B17" s="34" t="s">
        <v>418</v>
      </c>
      <c r="C17" s="348" t="s">
        <v>419</v>
      </c>
      <c r="D17" s="349" t="s">
        <v>32</v>
      </c>
      <c r="E17" s="14">
        <v>417</v>
      </c>
      <c r="F17" s="14">
        <f t="shared" si="1"/>
        <v>426</v>
      </c>
      <c r="G17" s="350">
        <f t="shared" si="2"/>
        <v>843</v>
      </c>
      <c r="H17" s="14">
        <f t="shared" si="3"/>
        <v>238</v>
      </c>
      <c r="I17" s="14">
        <v>11</v>
      </c>
      <c r="K17" s="16">
        <v>310</v>
      </c>
      <c r="L17" s="17">
        <v>107</v>
      </c>
      <c r="M17" s="18">
        <f t="shared" si="5"/>
        <v>417</v>
      </c>
      <c r="N17" s="19">
        <v>11</v>
      </c>
      <c r="O17" s="11"/>
      <c r="P17" s="16">
        <v>295</v>
      </c>
      <c r="Q17" s="17">
        <v>131</v>
      </c>
      <c r="R17" s="18">
        <f t="shared" si="6"/>
        <v>426</v>
      </c>
      <c r="S17" s="19">
        <v>8</v>
      </c>
    </row>
    <row r="18" spans="1:19" ht="18" customHeight="1">
      <c r="A18" s="34">
        <v>5</v>
      </c>
      <c r="B18" s="34" t="s">
        <v>420</v>
      </c>
      <c r="C18" s="348" t="s">
        <v>421</v>
      </c>
      <c r="D18" s="349" t="s">
        <v>33</v>
      </c>
      <c r="E18" s="14">
        <v>396</v>
      </c>
      <c r="F18" s="14">
        <f t="shared" si="1"/>
        <v>444</v>
      </c>
      <c r="G18" s="350">
        <f t="shared" si="2"/>
        <v>840</v>
      </c>
      <c r="H18" s="14">
        <f t="shared" si="3"/>
        <v>277</v>
      </c>
      <c r="I18" s="14">
        <v>4</v>
      </c>
      <c r="K18" s="16">
        <v>278</v>
      </c>
      <c r="L18" s="17">
        <v>118</v>
      </c>
      <c r="M18" s="18">
        <f t="shared" si="5"/>
        <v>396</v>
      </c>
      <c r="N18" s="19">
        <v>4</v>
      </c>
      <c r="O18" s="20"/>
      <c r="P18" s="16">
        <v>285</v>
      </c>
      <c r="Q18" s="17">
        <v>159</v>
      </c>
      <c r="R18" s="18">
        <f t="shared" si="6"/>
        <v>444</v>
      </c>
      <c r="S18" s="19">
        <v>3</v>
      </c>
    </row>
    <row r="19" spans="1:19" ht="18" customHeight="1">
      <c r="A19" s="34">
        <v>6</v>
      </c>
      <c r="B19" s="34" t="s">
        <v>422</v>
      </c>
      <c r="C19" s="351" t="s">
        <v>423</v>
      </c>
      <c r="D19" s="349" t="s">
        <v>36</v>
      </c>
      <c r="E19" s="14">
        <f t="shared" si="0"/>
        <v>403</v>
      </c>
      <c r="F19" s="14">
        <f t="shared" si="1"/>
        <v>398</v>
      </c>
      <c r="G19" s="350">
        <f t="shared" si="2"/>
        <v>801</v>
      </c>
      <c r="H19" s="14">
        <f t="shared" si="3"/>
        <v>247</v>
      </c>
      <c r="I19" s="14">
        <f t="shared" si="4"/>
        <v>18</v>
      </c>
      <c r="K19" s="16">
        <v>269</v>
      </c>
      <c r="L19" s="17">
        <v>134</v>
      </c>
      <c r="M19" s="18">
        <f t="shared" si="5"/>
        <v>403</v>
      </c>
      <c r="N19" s="19">
        <v>7</v>
      </c>
      <c r="O19" s="11"/>
      <c r="P19" s="16">
        <v>285</v>
      </c>
      <c r="Q19" s="17">
        <v>113</v>
      </c>
      <c r="R19" s="18">
        <f t="shared" si="6"/>
        <v>398</v>
      </c>
      <c r="S19" s="19">
        <v>11</v>
      </c>
    </row>
    <row r="20" spans="1:19" ht="18" customHeight="1">
      <c r="A20" s="34">
        <v>7</v>
      </c>
      <c r="B20" s="34" t="s">
        <v>424</v>
      </c>
      <c r="C20" s="348" t="s">
        <v>425</v>
      </c>
      <c r="D20" s="349" t="s">
        <v>126</v>
      </c>
      <c r="E20" s="14">
        <v>406</v>
      </c>
      <c r="F20" s="14">
        <f t="shared" si="1"/>
        <v>386</v>
      </c>
      <c r="G20" s="350">
        <v>792</v>
      </c>
      <c r="H20" s="14">
        <f t="shared" si="3"/>
        <v>233</v>
      </c>
      <c r="I20" s="14">
        <v>19</v>
      </c>
      <c r="K20" s="16">
        <v>287</v>
      </c>
      <c r="L20" s="17">
        <v>119</v>
      </c>
      <c r="M20" s="18">
        <f t="shared" si="5"/>
        <v>406</v>
      </c>
      <c r="N20" s="19">
        <v>8</v>
      </c>
      <c r="O20" s="11"/>
      <c r="P20" s="16">
        <v>272</v>
      </c>
      <c r="Q20" s="17">
        <v>114</v>
      </c>
      <c r="R20" s="18">
        <f t="shared" si="6"/>
        <v>386</v>
      </c>
      <c r="S20" s="19">
        <v>11</v>
      </c>
    </row>
    <row r="21" spans="1:19" ht="18" customHeight="1">
      <c r="A21" s="34">
        <v>8</v>
      </c>
      <c r="B21" s="34" t="s">
        <v>426</v>
      </c>
      <c r="C21" s="351" t="s">
        <v>427</v>
      </c>
      <c r="D21" s="349" t="s">
        <v>35</v>
      </c>
      <c r="E21" s="14">
        <f t="shared" si="0"/>
        <v>414</v>
      </c>
      <c r="F21" s="14">
        <f t="shared" si="1"/>
        <v>352</v>
      </c>
      <c r="G21" s="350">
        <f t="shared" si="2"/>
        <v>766</v>
      </c>
      <c r="H21" s="14">
        <f t="shared" si="3"/>
        <v>208</v>
      </c>
      <c r="I21" s="14">
        <f t="shared" si="4"/>
        <v>25</v>
      </c>
      <c r="K21" s="352">
        <v>310</v>
      </c>
      <c r="L21" s="353">
        <v>104</v>
      </c>
      <c r="M21" s="354">
        <f t="shared" si="5"/>
        <v>414</v>
      </c>
      <c r="N21" s="355">
        <v>13</v>
      </c>
      <c r="O21" s="11"/>
      <c r="P21" s="319">
        <v>248</v>
      </c>
      <c r="Q21" s="320">
        <v>104</v>
      </c>
      <c r="R21" s="321">
        <f t="shared" si="6"/>
        <v>352</v>
      </c>
      <c r="S21" s="322">
        <v>12</v>
      </c>
    </row>
    <row r="22" spans="1:19" ht="18" customHeight="1">
      <c r="A22" s="34">
        <v>9</v>
      </c>
      <c r="B22" s="34" t="s">
        <v>428</v>
      </c>
      <c r="C22" s="348" t="s">
        <v>429</v>
      </c>
      <c r="D22" s="69" t="s">
        <v>73</v>
      </c>
      <c r="E22" s="356">
        <f>SUM(M22)</f>
        <v>391</v>
      </c>
      <c r="F22" s="14">
        <f>SUM(R22)</f>
        <v>372</v>
      </c>
      <c r="G22" s="15">
        <f>SUM(M22+R22)</f>
        <v>763</v>
      </c>
      <c r="H22" s="356">
        <f>SUM(L22+Q22)</f>
        <v>211</v>
      </c>
      <c r="I22" s="357">
        <f>SUM(N22+S22)</f>
        <v>21</v>
      </c>
      <c r="K22" s="358">
        <v>275</v>
      </c>
      <c r="L22" s="359">
        <v>116</v>
      </c>
      <c r="M22" s="360">
        <f>SUM(K22:L22)</f>
        <v>391</v>
      </c>
      <c r="N22" s="361">
        <v>10</v>
      </c>
      <c r="O22" s="20"/>
      <c r="P22" s="16">
        <v>277</v>
      </c>
      <c r="Q22" s="17">
        <v>95</v>
      </c>
      <c r="R22" s="18">
        <f>SUM(P22:Q22)</f>
        <v>372</v>
      </c>
      <c r="S22" s="19">
        <v>11</v>
      </c>
    </row>
    <row r="23" spans="1:19" ht="18" customHeight="1">
      <c r="A23" s="34">
        <v>10</v>
      </c>
      <c r="B23" s="226" t="s">
        <v>430</v>
      </c>
      <c r="C23" s="348" t="s">
        <v>429</v>
      </c>
      <c r="D23" s="69" t="s">
        <v>77</v>
      </c>
      <c r="E23" s="14">
        <f t="shared" si="0"/>
        <v>414</v>
      </c>
      <c r="F23" s="14">
        <f t="shared" si="1"/>
        <v>0</v>
      </c>
      <c r="G23" s="15">
        <f>SUM(M23+R23)</f>
        <v>414</v>
      </c>
      <c r="H23" s="14">
        <f t="shared" si="3"/>
        <v>114</v>
      </c>
      <c r="I23" s="14">
        <f t="shared" si="4"/>
        <v>11</v>
      </c>
      <c r="J23" s="362"/>
      <c r="K23" s="16">
        <v>300</v>
      </c>
      <c r="L23" s="363">
        <v>114</v>
      </c>
      <c r="M23" s="18">
        <f t="shared" si="5"/>
        <v>414</v>
      </c>
      <c r="N23" s="364">
        <v>11</v>
      </c>
      <c r="O23" s="11"/>
      <c r="P23" s="358"/>
      <c r="Q23" s="359"/>
      <c r="R23" s="360"/>
      <c r="S23" s="361"/>
    </row>
    <row r="24" spans="1:19" ht="18" customHeight="1">
      <c r="A24" s="34">
        <v>11</v>
      </c>
      <c r="B24" s="34" t="s">
        <v>431</v>
      </c>
      <c r="C24" s="348" t="s">
        <v>432</v>
      </c>
      <c r="D24" s="69" t="s">
        <v>433</v>
      </c>
      <c r="E24" s="191" t="s">
        <v>434</v>
      </c>
      <c r="F24" s="14">
        <f t="shared" si="1"/>
        <v>0</v>
      </c>
      <c r="G24" s="350">
        <f t="shared" si="2"/>
        <v>0</v>
      </c>
      <c r="H24" s="14">
        <f t="shared" si="3"/>
        <v>0</v>
      </c>
      <c r="I24" s="21">
        <f t="shared" si="4"/>
        <v>0</v>
      </c>
      <c r="J24" s="365"/>
      <c r="K24" s="173"/>
      <c r="L24" s="174"/>
      <c r="M24" s="175">
        <f t="shared" si="5"/>
        <v>0</v>
      </c>
      <c r="N24" s="176"/>
      <c r="O24" s="11"/>
      <c r="P24" s="16"/>
      <c r="Q24" s="17"/>
      <c r="R24" s="18">
        <f t="shared" si="6"/>
        <v>0</v>
      </c>
      <c r="S24" s="19"/>
    </row>
    <row r="25" spans="1:9" ht="18" customHeight="1">
      <c r="A25" s="366" t="s">
        <v>435</v>
      </c>
      <c r="B25" s="367"/>
      <c r="C25" s="367"/>
      <c r="D25" s="367"/>
      <c r="E25" s="367"/>
      <c r="F25" s="367"/>
      <c r="G25" s="367"/>
      <c r="H25" s="367"/>
      <c r="I25" s="368"/>
    </row>
    <row r="26" spans="1:19" ht="18" customHeight="1">
      <c r="A26" s="369">
        <v>1</v>
      </c>
      <c r="B26" s="181" t="s">
        <v>436</v>
      </c>
      <c r="C26" s="315" t="s">
        <v>437</v>
      </c>
      <c r="D26" s="192" t="s">
        <v>41</v>
      </c>
      <c r="E26" s="370">
        <f>SUM(M26)</f>
        <v>411</v>
      </c>
      <c r="F26" s="124">
        <f>SUM(R26)</f>
        <v>414</v>
      </c>
      <c r="G26" s="125">
        <f>SUM(M26+R26)</f>
        <v>825</v>
      </c>
      <c r="H26" s="370">
        <f>SUM(L26+Q26)</f>
        <v>249</v>
      </c>
      <c r="I26" s="370">
        <f>SUM(N26+S26)</f>
        <v>16</v>
      </c>
      <c r="K26" s="16">
        <v>286</v>
      </c>
      <c r="L26" s="17">
        <v>125</v>
      </c>
      <c r="M26" s="18">
        <f>SUM(K26:L26)</f>
        <v>411</v>
      </c>
      <c r="N26" s="19">
        <v>6</v>
      </c>
      <c r="O26" s="11"/>
      <c r="P26" s="16">
        <v>290</v>
      </c>
      <c r="Q26" s="17">
        <v>124</v>
      </c>
      <c r="R26" s="18">
        <f>SUM(P26:Q26)</f>
        <v>414</v>
      </c>
      <c r="S26" s="19">
        <v>10</v>
      </c>
    </row>
    <row r="27" spans="1:19" ht="18" customHeight="1">
      <c r="A27" s="24"/>
      <c r="B27" s="24" t="s">
        <v>438</v>
      </c>
      <c r="C27" s="371" t="s">
        <v>417</v>
      </c>
      <c r="D27" s="55" t="s">
        <v>42</v>
      </c>
      <c r="E27" s="372" t="s">
        <v>434</v>
      </c>
      <c r="F27" s="356">
        <f>SUM(R27)</f>
        <v>0</v>
      </c>
      <c r="G27" s="15">
        <f>SUM(M27+R27)</f>
        <v>0</v>
      </c>
      <c r="H27" s="356">
        <f>SUM(L27+Q27)</f>
        <v>0</v>
      </c>
      <c r="I27" s="356">
        <f>SUM(N27+S27)</f>
        <v>0</v>
      </c>
      <c r="K27" s="16"/>
      <c r="L27" s="17"/>
      <c r="M27" s="18">
        <f>SUM(K27:L27)</f>
        <v>0</v>
      </c>
      <c r="N27" s="19"/>
      <c r="O27" s="11"/>
      <c r="P27" s="16"/>
      <c r="Q27" s="17"/>
      <c r="R27" s="18">
        <f>SUM(P27:Q27)</f>
        <v>0</v>
      </c>
      <c r="S27" s="19"/>
    </row>
    <row r="28" spans="1:19" ht="18" customHeight="1" thickBot="1">
      <c r="A28" s="373"/>
      <c r="B28" s="374" t="s">
        <v>439</v>
      </c>
      <c r="C28" s="375" t="s">
        <v>440</v>
      </c>
      <c r="D28" s="71" t="s">
        <v>154</v>
      </c>
      <c r="E28" s="376" t="s">
        <v>434</v>
      </c>
      <c r="F28" s="377">
        <f>SUM(R28)</f>
        <v>0</v>
      </c>
      <c r="G28" s="32">
        <f>SUM(M28+R28)</f>
        <v>0</v>
      </c>
      <c r="H28" s="377">
        <f>SUM(L28+Q28)</f>
        <v>0</v>
      </c>
      <c r="I28" s="377">
        <f>SUM(N28+S28)</f>
        <v>0</v>
      </c>
      <c r="K28" s="16"/>
      <c r="L28" s="17"/>
      <c r="M28" s="18">
        <f>SUM(K28:L28)</f>
        <v>0</v>
      </c>
      <c r="N28" s="19"/>
      <c r="O28" s="11"/>
      <c r="P28" s="16"/>
      <c r="Q28" s="17"/>
      <c r="R28" s="18">
        <f>SUM(P28:Q28)</f>
        <v>0</v>
      </c>
      <c r="S28" s="19"/>
    </row>
    <row r="29" spans="1:19" ht="12.75">
      <c r="A29" s="12"/>
      <c r="B29" s="5"/>
      <c r="C29" s="28"/>
      <c r="D29" s="10"/>
      <c r="E29" s="37"/>
      <c r="F29" s="37"/>
      <c r="G29" s="29"/>
      <c r="H29" s="37"/>
      <c r="I29" s="37"/>
      <c r="K29" s="12"/>
      <c r="L29" s="12"/>
      <c r="M29" s="30"/>
      <c r="N29" s="12"/>
      <c r="O29" s="20"/>
      <c r="P29" s="12"/>
      <c r="Q29" s="12"/>
      <c r="R29" s="30"/>
      <c r="S29" s="12"/>
    </row>
    <row r="30" spans="2:19" ht="12.75">
      <c r="B30" s="257" t="s">
        <v>441</v>
      </c>
      <c r="E30" s="37"/>
      <c r="F30" s="37"/>
      <c r="G30" s="29"/>
      <c r="H30" s="37"/>
      <c r="I30" s="37"/>
      <c r="K30" s="12"/>
      <c r="L30" s="12"/>
      <c r="M30" s="30"/>
      <c r="N30" s="12"/>
      <c r="O30" s="20"/>
      <c r="P30" s="12"/>
      <c r="Q30" s="12"/>
      <c r="R30" s="30"/>
      <c r="S30" s="12"/>
    </row>
    <row r="31" spans="3:4" ht="12.75">
      <c r="C31" s="6"/>
      <c r="D31" s="7"/>
    </row>
    <row r="32" spans="1:4" ht="12.75">
      <c r="A32" s="8" t="s">
        <v>442</v>
      </c>
      <c r="C32" s="6"/>
      <c r="D32" s="7"/>
    </row>
    <row r="33" ht="12.75">
      <c r="A33" s="8" t="s">
        <v>443</v>
      </c>
    </row>
    <row r="34" ht="12.75">
      <c r="A34" s="9" t="s">
        <v>444</v>
      </c>
    </row>
  </sheetData>
  <sheetProtection/>
  <mergeCells count="7">
    <mergeCell ref="A13:I13"/>
    <mergeCell ref="A25:I25"/>
    <mergeCell ref="A3:I3"/>
    <mergeCell ref="A9:I9"/>
    <mergeCell ref="K11:N11"/>
    <mergeCell ref="P11:S11"/>
    <mergeCell ref="A6:I6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0">
      <selection activeCell="I27" sqref="I27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297" t="s">
        <v>122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5">
      <c r="A2" s="297" t="s">
        <v>123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tr">
        <f>'U23w'!A3</f>
        <v>09. / 10. März 2013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259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/>
      <c r="Q8"/>
      <c r="R8"/>
      <c r="S8"/>
      <c r="T8"/>
    </row>
    <row r="9" spans="1:20" s="35" customFormat="1" ht="15.75" customHeight="1">
      <c r="A9" s="301" t="s">
        <v>82</v>
      </c>
      <c r="B9" s="301"/>
      <c r="C9" s="301"/>
      <c r="D9" s="301"/>
      <c r="E9" s="301"/>
      <c r="F9" s="301"/>
      <c r="G9" s="301"/>
      <c r="H9" s="301"/>
      <c r="I9" s="301"/>
      <c r="J9" s="301"/>
      <c r="K9"/>
      <c r="L9"/>
      <c r="M9"/>
      <c r="N9"/>
      <c r="O9"/>
      <c r="P9"/>
      <c r="Q9"/>
      <c r="R9"/>
      <c r="S9"/>
      <c r="T9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11"/>
      <c r="Q11" s="298" t="s">
        <v>12</v>
      </c>
      <c r="R11" s="299"/>
      <c r="S11" s="299"/>
      <c r="T11" s="300"/>
    </row>
    <row r="12" spans="1:20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3"/>
      <c r="Q12" s="51" t="s">
        <v>13</v>
      </c>
      <c r="R12" s="52" t="s">
        <v>14</v>
      </c>
      <c r="S12" s="53" t="s">
        <v>15</v>
      </c>
      <c r="T12" s="54" t="s">
        <v>10</v>
      </c>
    </row>
    <row r="13" spans="1:20" ht="18" customHeight="1">
      <c r="A13" s="182">
        <v>1</v>
      </c>
      <c r="B13" s="291"/>
      <c r="C13" s="181" t="s">
        <v>253</v>
      </c>
      <c r="D13" s="123" t="s">
        <v>111</v>
      </c>
      <c r="E13" s="185" t="s">
        <v>126</v>
      </c>
      <c r="F13" s="124">
        <f aca="true" t="shared" si="0" ref="F13:F19">SUM(N13)</f>
        <v>820</v>
      </c>
      <c r="G13" s="124">
        <f aca="true" t="shared" si="1" ref="G13:G20">SUM(S13)</f>
        <v>845</v>
      </c>
      <c r="H13" s="125">
        <f aca="true" t="shared" si="2" ref="H13:H20">SUM(F13:G13)</f>
        <v>1665</v>
      </c>
      <c r="I13" s="124">
        <f aca="true" t="shared" si="3" ref="I13:I20">SUM(M13+R13)</f>
        <v>506</v>
      </c>
      <c r="J13" s="124">
        <f aca="true" t="shared" si="4" ref="J13:J20">SUM(O13+T13)</f>
        <v>24</v>
      </c>
      <c r="L13" s="16">
        <f>137+155+149+132</f>
        <v>573</v>
      </c>
      <c r="M13" s="17">
        <f>63+51+63+70</f>
        <v>247</v>
      </c>
      <c r="N13" s="18">
        <f aca="true" t="shared" si="5" ref="N13:N20">SUM(L13:M13)</f>
        <v>820</v>
      </c>
      <c r="O13" s="19">
        <f>5+6+2+2</f>
        <v>15</v>
      </c>
      <c r="Q13" s="16">
        <f>145+151+144+146</f>
        <v>586</v>
      </c>
      <c r="R13" s="17">
        <f>58+68+63+70</f>
        <v>259</v>
      </c>
      <c r="S13" s="18">
        <f aca="true" t="shared" si="6" ref="S13:S20">SUM(Q13:R13)</f>
        <v>845</v>
      </c>
      <c r="T13" s="19">
        <f>3+1+4+1</f>
        <v>9</v>
      </c>
    </row>
    <row r="14" spans="1:20" ht="18" customHeight="1">
      <c r="A14" s="273">
        <v>2</v>
      </c>
      <c r="B14" s="205"/>
      <c r="C14" s="197" t="s">
        <v>116</v>
      </c>
      <c r="D14" s="133" t="s">
        <v>117</v>
      </c>
      <c r="E14" s="186" t="s">
        <v>35</v>
      </c>
      <c r="F14" s="194">
        <f t="shared" si="0"/>
        <v>828</v>
      </c>
      <c r="G14" s="194">
        <f t="shared" si="1"/>
        <v>784</v>
      </c>
      <c r="H14" s="125">
        <f t="shared" si="2"/>
        <v>1612</v>
      </c>
      <c r="I14" s="134">
        <f t="shared" si="3"/>
        <v>489</v>
      </c>
      <c r="J14" s="124">
        <f t="shared" si="4"/>
        <v>17</v>
      </c>
      <c r="L14" s="16">
        <f>147+159+113+150</f>
        <v>569</v>
      </c>
      <c r="M14" s="17">
        <f>45+63+63+88</f>
        <v>259</v>
      </c>
      <c r="N14" s="18">
        <f t="shared" si="5"/>
        <v>828</v>
      </c>
      <c r="O14" s="19">
        <f>6+0+0+1</f>
        <v>7</v>
      </c>
      <c r="Q14" s="16">
        <f>139+147+134+134</f>
        <v>554</v>
      </c>
      <c r="R14" s="17">
        <f>54+52+72+52</f>
        <v>230</v>
      </c>
      <c r="S14" s="18">
        <f t="shared" si="6"/>
        <v>784</v>
      </c>
      <c r="T14" s="19">
        <f>3+3+2+2</f>
        <v>10</v>
      </c>
    </row>
    <row r="15" spans="1:20" ht="18" customHeight="1" thickBot="1">
      <c r="A15" s="292">
        <v>3</v>
      </c>
      <c r="B15" s="293"/>
      <c r="C15" s="183" t="s">
        <v>320</v>
      </c>
      <c r="D15" s="195" t="s">
        <v>322</v>
      </c>
      <c r="E15" s="187" t="s">
        <v>90</v>
      </c>
      <c r="F15" s="141">
        <f t="shared" si="0"/>
        <v>781</v>
      </c>
      <c r="G15" s="141">
        <f t="shared" si="1"/>
        <v>830</v>
      </c>
      <c r="H15" s="142">
        <f t="shared" si="2"/>
        <v>1611</v>
      </c>
      <c r="I15" s="141">
        <f t="shared" si="3"/>
        <v>503</v>
      </c>
      <c r="J15" s="141">
        <f t="shared" si="4"/>
        <v>25</v>
      </c>
      <c r="L15" s="16">
        <f>127+145+148+141</f>
        <v>561</v>
      </c>
      <c r="M15" s="17">
        <f>45+60+54+61</f>
        <v>220</v>
      </c>
      <c r="N15" s="18">
        <f t="shared" si="5"/>
        <v>781</v>
      </c>
      <c r="O15" s="19">
        <f>2+3+7+4</f>
        <v>16</v>
      </c>
      <c r="Q15" s="16">
        <f>137+140+130+140</f>
        <v>547</v>
      </c>
      <c r="R15" s="17">
        <f>69+81+62+71</f>
        <v>283</v>
      </c>
      <c r="S15" s="18">
        <f t="shared" si="6"/>
        <v>830</v>
      </c>
      <c r="T15" s="19">
        <f>1+3+4+1</f>
        <v>9</v>
      </c>
    </row>
    <row r="16" spans="1:20" ht="18" customHeight="1">
      <c r="A16" s="24">
        <v>4</v>
      </c>
      <c r="B16" s="190"/>
      <c r="C16" s="24" t="s">
        <v>353</v>
      </c>
      <c r="D16" s="64" t="s">
        <v>357</v>
      </c>
      <c r="E16" s="69" t="s">
        <v>34</v>
      </c>
      <c r="F16" s="21">
        <f t="shared" si="0"/>
        <v>780</v>
      </c>
      <c r="G16" s="21">
        <f t="shared" si="1"/>
        <v>801</v>
      </c>
      <c r="H16" s="22">
        <f t="shared" si="2"/>
        <v>1581</v>
      </c>
      <c r="I16" s="21">
        <f t="shared" si="3"/>
        <v>451</v>
      </c>
      <c r="J16" s="26">
        <f t="shared" si="4"/>
        <v>37</v>
      </c>
      <c r="L16" s="16">
        <f>144+145+141+145</f>
        <v>575</v>
      </c>
      <c r="M16" s="17">
        <f>44+63+44+54</f>
        <v>205</v>
      </c>
      <c r="N16" s="18">
        <f t="shared" si="5"/>
        <v>780</v>
      </c>
      <c r="O16" s="19">
        <f>5+5+6+5</f>
        <v>21</v>
      </c>
      <c r="Q16" s="16">
        <f>135+138+143+139</f>
        <v>555</v>
      </c>
      <c r="R16" s="17">
        <f>52+70+71+53</f>
        <v>246</v>
      </c>
      <c r="S16" s="18">
        <f t="shared" si="6"/>
        <v>801</v>
      </c>
      <c r="T16" s="19">
        <f>6+4+1+5</f>
        <v>16</v>
      </c>
    </row>
    <row r="17" spans="1:20" ht="18" customHeight="1">
      <c r="A17" s="25">
        <v>5</v>
      </c>
      <c r="B17" s="68"/>
      <c r="C17" s="34" t="s">
        <v>169</v>
      </c>
      <c r="D17" s="65" t="s">
        <v>170</v>
      </c>
      <c r="E17" s="55" t="s">
        <v>36</v>
      </c>
      <c r="F17" s="14">
        <f t="shared" si="0"/>
        <v>757</v>
      </c>
      <c r="G17" s="14">
        <f t="shared" si="1"/>
        <v>0</v>
      </c>
      <c r="H17" s="15">
        <f t="shared" si="2"/>
        <v>757</v>
      </c>
      <c r="I17" s="14">
        <f t="shared" si="3"/>
        <v>208</v>
      </c>
      <c r="J17" s="14">
        <f t="shared" si="4"/>
        <v>20</v>
      </c>
      <c r="L17" s="16">
        <f>124+140+155+130</f>
        <v>549</v>
      </c>
      <c r="M17" s="17">
        <f>74+48+36+50</f>
        <v>208</v>
      </c>
      <c r="N17" s="18">
        <f t="shared" si="5"/>
        <v>757</v>
      </c>
      <c r="O17" s="19">
        <f>1+6+7+6</f>
        <v>20</v>
      </c>
      <c r="P17" s="20"/>
      <c r="Q17" s="16"/>
      <c r="R17" s="17"/>
      <c r="S17" s="18">
        <f t="shared" si="6"/>
        <v>0</v>
      </c>
      <c r="T17" s="19"/>
    </row>
    <row r="18" spans="1:20" ht="18" customHeight="1">
      <c r="A18" s="23"/>
      <c r="B18" s="74"/>
      <c r="C18" s="24" t="s">
        <v>319</v>
      </c>
      <c r="D18" s="83" t="s">
        <v>321</v>
      </c>
      <c r="E18" s="55" t="s">
        <v>91</v>
      </c>
      <c r="F18" s="191" t="s">
        <v>356</v>
      </c>
      <c r="G18" s="14">
        <f t="shared" si="1"/>
        <v>0</v>
      </c>
      <c r="H18" s="15">
        <f>SUM(G18:G18)</f>
        <v>0</v>
      </c>
      <c r="I18" s="14">
        <f t="shared" si="3"/>
        <v>0</v>
      </c>
      <c r="J18" s="14">
        <f t="shared" si="4"/>
        <v>0</v>
      </c>
      <c r="L18" s="97"/>
      <c r="M18" s="17"/>
      <c r="N18" s="18">
        <f t="shared" si="5"/>
        <v>0</v>
      </c>
      <c r="O18" s="19"/>
      <c r="P18" s="20"/>
      <c r="Q18" s="16"/>
      <c r="R18" s="17"/>
      <c r="S18" s="18">
        <f t="shared" si="6"/>
        <v>0</v>
      </c>
      <c r="T18" s="19"/>
    </row>
    <row r="19" spans="1:20" ht="18" customHeight="1">
      <c r="A19" s="23"/>
      <c r="B19" s="76" t="s">
        <v>120</v>
      </c>
      <c r="C19" s="34" t="s">
        <v>164</v>
      </c>
      <c r="D19" s="33"/>
      <c r="E19" s="55" t="s">
        <v>40</v>
      </c>
      <c r="F19" s="21">
        <f t="shared" si="0"/>
        <v>0</v>
      </c>
      <c r="G19" s="21">
        <f t="shared" si="1"/>
        <v>0</v>
      </c>
      <c r="H19" s="22">
        <f t="shared" si="2"/>
        <v>0</v>
      </c>
      <c r="I19" s="21">
        <f t="shared" si="3"/>
        <v>0</v>
      </c>
      <c r="J19" s="21">
        <f t="shared" si="4"/>
        <v>0</v>
      </c>
      <c r="L19" s="16"/>
      <c r="M19" s="17"/>
      <c r="N19" s="18">
        <f t="shared" si="5"/>
        <v>0</v>
      </c>
      <c r="O19" s="19"/>
      <c r="P19" s="20"/>
      <c r="Q19" s="16"/>
      <c r="R19" s="17"/>
      <c r="S19" s="18">
        <f t="shared" si="6"/>
        <v>0</v>
      </c>
      <c r="T19" s="19"/>
    </row>
    <row r="20" spans="1:20" ht="18" customHeight="1">
      <c r="A20" s="24"/>
      <c r="B20" s="73"/>
      <c r="C20" s="34" t="s">
        <v>164</v>
      </c>
      <c r="D20" s="33"/>
      <c r="E20" s="55" t="s">
        <v>79</v>
      </c>
      <c r="F20" s="191"/>
      <c r="G20" s="14">
        <f t="shared" si="1"/>
        <v>0</v>
      </c>
      <c r="H20" s="15">
        <f t="shared" si="2"/>
        <v>0</v>
      </c>
      <c r="I20" s="14">
        <f t="shared" si="3"/>
        <v>0</v>
      </c>
      <c r="J20" s="14">
        <f t="shared" si="4"/>
        <v>0</v>
      </c>
      <c r="L20" s="16"/>
      <c r="M20" s="17"/>
      <c r="N20" s="18">
        <f t="shared" si="5"/>
        <v>0</v>
      </c>
      <c r="O20" s="19"/>
      <c r="P20" s="20"/>
      <c r="Q20" s="16"/>
      <c r="R20" s="17"/>
      <c r="S20" s="18">
        <f t="shared" si="6"/>
        <v>0</v>
      </c>
      <c r="T20" s="19"/>
    </row>
    <row r="21" spans="1:20" ht="12.75">
      <c r="A21" s="12"/>
      <c r="B21" s="36"/>
      <c r="C21" s="5"/>
      <c r="D21" s="28"/>
      <c r="E21" s="10"/>
      <c r="F21" s="37"/>
      <c r="G21" s="37"/>
      <c r="H21" s="29"/>
      <c r="I21" s="37"/>
      <c r="J21" s="37"/>
      <c r="L21" s="12"/>
      <c r="M21" s="12"/>
      <c r="N21" s="30"/>
      <c r="O21" s="12"/>
      <c r="P21" s="20"/>
      <c r="Q21" s="12"/>
      <c r="R21" s="12"/>
      <c r="S21" s="30"/>
      <c r="T21" s="12"/>
    </row>
    <row r="22" spans="1:20" ht="12.75">
      <c r="A22" t="s">
        <v>172</v>
      </c>
      <c r="B22" s="36"/>
      <c r="F22" s="37"/>
      <c r="G22" s="37"/>
      <c r="H22" s="29"/>
      <c r="I22" s="37"/>
      <c r="J22" s="37"/>
      <c r="L22" s="12"/>
      <c r="M22" s="12"/>
      <c r="N22" s="30"/>
      <c r="O22" s="12"/>
      <c r="P22" s="20"/>
      <c r="Q22" s="12"/>
      <c r="R22" s="12"/>
      <c r="S22" s="30"/>
      <c r="T22" s="12"/>
    </row>
    <row r="23" spans="4:5" ht="12.75">
      <c r="D23" s="6"/>
      <c r="E23" s="7"/>
    </row>
    <row r="24" spans="1:5" ht="12.75">
      <c r="A24" s="8" t="s">
        <v>125</v>
      </c>
      <c r="D24" s="6"/>
      <c r="E24" s="7"/>
    </row>
    <row r="25" ht="12.75">
      <c r="A25" s="9" t="s">
        <v>171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25">
      <selection activeCell="F35" sqref="F35:F36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297" t="s">
        <v>130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5">
      <c r="A2" s="297" t="s">
        <v>131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tr">
        <f>'U23m'!A3</f>
        <v>09. / 10. März 2013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118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/>
      <c r="Q8"/>
      <c r="R8"/>
      <c r="S8"/>
      <c r="T8"/>
    </row>
    <row r="9" spans="1:20" s="35" customFormat="1" ht="15.75" customHeight="1">
      <c r="A9" s="301" t="s">
        <v>225</v>
      </c>
      <c r="B9" s="301"/>
      <c r="C9" s="301"/>
      <c r="D9" s="301"/>
      <c r="E9" s="301"/>
      <c r="F9" s="301"/>
      <c r="G9" s="301"/>
      <c r="H9" s="301"/>
      <c r="I9" s="301"/>
      <c r="J9" s="301"/>
      <c r="K9"/>
      <c r="L9"/>
      <c r="M9"/>
      <c r="N9"/>
      <c r="O9"/>
      <c r="P9"/>
      <c r="Q9"/>
      <c r="R9"/>
      <c r="S9"/>
      <c r="T9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11"/>
      <c r="Q11" s="298" t="s">
        <v>12</v>
      </c>
      <c r="R11" s="299"/>
      <c r="S11" s="299"/>
      <c r="T11" s="300"/>
    </row>
    <row r="12" spans="1:20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3"/>
      <c r="Q12" s="51" t="s">
        <v>13</v>
      </c>
      <c r="R12" s="52" t="s">
        <v>14</v>
      </c>
      <c r="S12" s="53" t="s">
        <v>15</v>
      </c>
      <c r="T12" s="54" t="s">
        <v>10</v>
      </c>
    </row>
    <row r="13" spans="1:20" ht="18" customHeight="1">
      <c r="A13" s="182">
        <v>1</v>
      </c>
      <c r="B13" s="294"/>
      <c r="C13" s="181" t="s">
        <v>239</v>
      </c>
      <c r="D13" s="123" t="s">
        <v>240</v>
      </c>
      <c r="E13" s="185" t="s">
        <v>88</v>
      </c>
      <c r="F13" s="124">
        <f aca="true" t="shared" si="0" ref="F13:F24">SUM(N13)</f>
        <v>936</v>
      </c>
      <c r="G13" s="124">
        <f aca="true" t="shared" si="1" ref="G13:G24">SUM(S13)</f>
        <v>935</v>
      </c>
      <c r="H13" s="125">
        <f aca="true" t="shared" si="2" ref="H13:H36">SUM(F13:G13)</f>
        <v>1871</v>
      </c>
      <c r="I13" s="124">
        <f aca="true" t="shared" si="3" ref="I13:I36">SUM(M13+R13)</f>
        <v>647</v>
      </c>
      <c r="J13" s="124">
        <f aca="true" t="shared" si="4" ref="J13:J36">SUM(O13+T13)</f>
        <v>7</v>
      </c>
      <c r="K13" s="126"/>
      <c r="L13" s="127">
        <v>634</v>
      </c>
      <c r="M13" s="128">
        <v>302</v>
      </c>
      <c r="N13" s="129">
        <f aca="true" t="shared" si="5" ref="N13:N36">SUM(L13:M13)</f>
        <v>936</v>
      </c>
      <c r="O13" s="130">
        <v>5</v>
      </c>
      <c r="P13" s="131"/>
      <c r="Q13" s="127">
        <v>590</v>
      </c>
      <c r="R13" s="128">
        <v>345</v>
      </c>
      <c r="S13" s="129">
        <f aca="true" t="shared" si="6" ref="S13:S36">SUM(Q13:R13)</f>
        <v>935</v>
      </c>
      <c r="T13" s="130">
        <v>2</v>
      </c>
    </row>
    <row r="14" spans="1:20" ht="18" customHeight="1">
      <c r="A14" s="273">
        <v>2</v>
      </c>
      <c r="B14" s="295"/>
      <c r="C14" s="182" t="s">
        <v>236</v>
      </c>
      <c r="D14" s="133" t="s">
        <v>237</v>
      </c>
      <c r="E14" s="186" t="s">
        <v>80</v>
      </c>
      <c r="F14" s="134">
        <f t="shared" si="0"/>
        <v>917</v>
      </c>
      <c r="G14" s="134">
        <f t="shared" si="1"/>
        <v>939</v>
      </c>
      <c r="H14" s="135">
        <f t="shared" si="2"/>
        <v>1856</v>
      </c>
      <c r="I14" s="134">
        <f t="shared" si="3"/>
        <v>651</v>
      </c>
      <c r="J14" s="134">
        <f t="shared" si="4"/>
        <v>11</v>
      </c>
      <c r="K14" s="126"/>
      <c r="L14" s="136">
        <v>600</v>
      </c>
      <c r="M14" s="137">
        <v>317</v>
      </c>
      <c r="N14" s="138">
        <f t="shared" si="5"/>
        <v>917</v>
      </c>
      <c r="O14" s="139">
        <v>6</v>
      </c>
      <c r="P14" s="131"/>
      <c r="Q14" s="136">
        <v>605</v>
      </c>
      <c r="R14" s="137">
        <v>334</v>
      </c>
      <c r="S14" s="138">
        <f t="shared" si="6"/>
        <v>939</v>
      </c>
      <c r="T14" s="139">
        <v>5</v>
      </c>
    </row>
    <row r="15" spans="1:20" ht="18" customHeight="1" thickBot="1">
      <c r="A15" s="292">
        <v>3</v>
      </c>
      <c r="B15" s="296"/>
      <c r="C15" s="183" t="s">
        <v>238</v>
      </c>
      <c r="D15" s="140" t="s">
        <v>237</v>
      </c>
      <c r="E15" s="187" t="s">
        <v>89</v>
      </c>
      <c r="F15" s="141">
        <f t="shared" si="0"/>
        <v>912</v>
      </c>
      <c r="G15" s="141">
        <f t="shared" si="1"/>
        <v>935</v>
      </c>
      <c r="H15" s="142">
        <f t="shared" si="2"/>
        <v>1847</v>
      </c>
      <c r="I15" s="141">
        <f t="shared" si="3"/>
        <v>656</v>
      </c>
      <c r="J15" s="141">
        <f t="shared" si="4"/>
        <v>5</v>
      </c>
      <c r="K15" s="143"/>
      <c r="L15" s="144">
        <v>584</v>
      </c>
      <c r="M15" s="145">
        <v>328</v>
      </c>
      <c r="N15" s="146">
        <f t="shared" si="5"/>
        <v>912</v>
      </c>
      <c r="O15" s="147">
        <v>4</v>
      </c>
      <c r="P15" s="148"/>
      <c r="Q15" s="144">
        <v>607</v>
      </c>
      <c r="R15" s="145">
        <v>328</v>
      </c>
      <c r="S15" s="146">
        <f t="shared" si="6"/>
        <v>935</v>
      </c>
      <c r="T15" s="147">
        <v>1</v>
      </c>
    </row>
    <row r="16" spans="1:20" ht="18" customHeight="1">
      <c r="A16" s="184">
        <v>4</v>
      </c>
      <c r="B16" s="80"/>
      <c r="C16" s="184" t="s">
        <v>234</v>
      </c>
      <c r="D16" s="64" t="s">
        <v>235</v>
      </c>
      <c r="E16" s="188" t="s">
        <v>78</v>
      </c>
      <c r="F16" s="21">
        <f t="shared" si="0"/>
        <v>934</v>
      </c>
      <c r="G16" s="21">
        <f t="shared" si="1"/>
        <v>905</v>
      </c>
      <c r="H16" s="22">
        <f t="shared" si="2"/>
        <v>1839</v>
      </c>
      <c r="I16" s="21">
        <f t="shared" si="3"/>
        <v>623</v>
      </c>
      <c r="J16" s="21">
        <f t="shared" si="4"/>
        <v>6</v>
      </c>
      <c r="K16" s="149"/>
      <c r="L16" s="150">
        <v>615</v>
      </c>
      <c r="M16" s="151">
        <v>319</v>
      </c>
      <c r="N16" s="152">
        <f t="shared" si="5"/>
        <v>934</v>
      </c>
      <c r="O16" s="153">
        <v>2</v>
      </c>
      <c r="P16" s="154"/>
      <c r="Q16" s="150">
        <v>601</v>
      </c>
      <c r="R16" s="151">
        <v>304</v>
      </c>
      <c r="S16" s="152">
        <f t="shared" si="6"/>
        <v>905</v>
      </c>
      <c r="T16" s="153">
        <v>4</v>
      </c>
    </row>
    <row r="17" spans="1:20" ht="20.25" customHeight="1">
      <c r="A17" s="23">
        <v>5</v>
      </c>
      <c r="B17" s="155"/>
      <c r="C17" s="24" t="s">
        <v>250</v>
      </c>
      <c r="D17" s="83" t="s">
        <v>251</v>
      </c>
      <c r="E17" s="55" t="s">
        <v>128</v>
      </c>
      <c r="F17" s="21">
        <f t="shared" si="0"/>
        <v>901</v>
      </c>
      <c r="G17" s="21">
        <f t="shared" si="1"/>
        <v>902</v>
      </c>
      <c r="H17" s="22">
        <f t="shared" si="2"/>
        <v>1803</v>
      </c>
      <c r="I17" s="21">
        <f t="shared" si="3"/>
        <v>586</v>
      </c>
      <c r="J17" s="21">
        <f t="shared" si="4"/>
        <v>13</v>
      </c>
      <c r="K17" s="156"/>
      <c r="L17" s="150">
        <v>617</v>
      </c>
      <c r="M17" s="151">
        <v>284</v>
      </c>
      <c r="N17" s="152">
        <f t="shared" si="5"/>
        <v>901</v>
      </c>
      <c r="O17" s="153">
        <v>7</v>
      </c>
      <c r="P17" s="96"/>
      <c r="Q17" s="150">
        <v>600</v>
      </c>
      <c r="R17" s="151">
        <v>302</v>
      </c>
      <c r="S17" s="152">
        <f t="shared" si="6"/>
        <v>902</v>
      </c>
      <c r="T17" s="153">
        <v>6</v>
      </c>
    </row>
    <row r="18" spans="1:20" ht="18" customHeight="1">
      <c r="A18" s="23">
        <v>6</v>
      </c>
      <c r="B18" s="157"/>
      <c r="C18" s="34" t="s">
        <v>301</v>
      </c>
      <c r="D18" s="122" t="s">
        <v>302</v>
      </c>
      <c r="E18" s="69" t="s">
        <v>129</v>
      </c>
      <c r="F18" s="14">
        <f t="shared" si="0"/>
        <v>872</v>
      </c>
      <c r="G18" s="14">
        <f t="shared" si="1"/>
        <v>920</v>
      </c>
      <c r="H18" s="15">
        <f t="shared" si="2"/>
        <v>1792</v>
      </c>
      <c r="I18" s="14">
        <f t="shared" si="3"/>
        <v>567</v>
      </c>
      <c r="J18" s="14">
        <f t="shared" si="4"/>
        <v>17</v>
      </c>
      <c r="K18" s="156"/>
      <c r="L18" s="158">
        <v>593</v>
      </c>
      <c r="M18" s="159">
        <v>279</v>
      </c>
      <c r="N18" s="160">
        <f t="shared" si="5"/>
        <v>872</v>
      </c>
      <c r="O18" s="161">
        <v>7</v>
      </c>
      <c r="P18" s="96"/>
      <c r="Q18" s="158">
        <v>632</v>
      </c>
      <c r="R18" s="159">
        <v>288</v>
      </c>
      <c r="S18" s="160">
        <f t="shared" si="6"/>
        <v>920</v>
      </c>
      <c r="T18" s="161">
        <v>10</v>
      </c>
    </row>
    <row r="19" spans="1:20" ht="18" customHeight="1">
      <c r="A19" s="23">
        <v>7</v>
      </c>
      <c r="B19" s="132"/>
      <c r="C19" s="24" t="s">
        <v>354</v>
      </c>
      <c r="D19" s="162" t="s">
        <v>345</v>
      </c>
      <c r="E19" s="55" t="s">
        <v>30</v>
      </c>
      <c r="F19" s="21">
        <f t="shared" si="0"/>
        <v>868</v>
      </c>
      <c r="G19" s="21">
        <f t="shared" si="1"/>
        <v>920</v>
      </c>
      <c r="H19" s="22">
        <f t="shared" si="2"/>
        <v>1788</v>
      </c>
      <c r="I19" s="21">
        <f t="shared" si="3"/>
        <v>593</v>
      </c>
      <c r="J19" s="21">
        <f t="shared" si="4"/>
        <v>14</v>
      </c>
      <c r="K19" s="156"/>
      <c r="L19" s="158">
        <v>596</v>
      </c>
      <c r="M19" s="159">
        <v>272</v>
      </c>
      <c r="N19" s="160">
        <f t="shared" si="5"/>
        <v>868</v>
      </c>
      <c r="O19" s="161">
        <v>11</v>
      </c>
      <c r="P19" s="96"/>
      <c r="Q19" s="158">
        <v>599</v>
      </c>
      <c r="R19" s="159">
        <v>321</v>
      </c>
      <c r="S19" s="160">
        <f t="shared" si="6"/>
        <v>920</v>
      </c>
      <c r="T19" s="161">
        <v>3</v>
      </c>
    </row>
    <row r="20" spans="1:20" ht="18" customHeight="1">
      <c r="A20" s="23">
        <v>8</v>
      </c>
      <c r="B20" s="81"/>
      <c r="C20" s="34" t="s">
        <v>355</v>
      </c>
      <c r="D20" s="94" t="s">
        <v>346</v>
      </c>
      <c r="E20" s="69" t="s">
        <v>77</v>
      </c>
      <c r="F20" s="14">
        <f t="shared" si="0"/>
        <v>912</v>
      </c>
      <c r="G20" s="14">
        <f t="shared" si="1"/>
        <v>873</v>
      </c>
      <c r="H20" s="15">
        <f t="shared" si="2"/>
        <v>1785</v>
      </c>
      <c r="I20" s="14">
        <f t="shared" si="3"/>
        <v>575</v>
      </c>
      <c r="J20" s="14">
        <f t="shared" si="4"/>
        <v>11</v>
      </c>
      <c r="K20" s="156"/>
      <c r="L20" s="158">
        <v>611</v>
      </c>
      <c r="M20" s="159">
        <v>301</v>
      </c>
      <c r="N20" s="160">
        <f t="shared" si="5"/>
        <v>912</v>
      </c>
      <c r="O20" s="161">
        <v>4</v>
      </c>
      <c r="P20" s="96"/>
      <c r="Q20" s="158">
        <v>599</v>
      </c>
      <c r="R20" s="159">
        <v>274</v>
      </c>
      <c r="S20" s="160">
        <f t="shared" si="6"/>
        <v>873</v>
      </c>
      <c r="T20" s="161">
        <v>7</v>
      </c>
    </row>
    <row r="21" spans="1:20" ht="17.25" customHeight="1">
      <c r="A21" s="25">
        <v>9</v>
      </c>
      <c r="B21" s="163"/>
      <c r="C21" s="34" t="s">
        <v>323</v>
      </c>
      <c r="D21" s="33" t="s">
        <v>324</v>
      </c>
      <c r="E21" s="55" t="s">
        <v>119</v>
      </c>
      <c r="F21" s="14">
        <f t="shared" si="0"/>
        <v>881</v>
      </c>
      <c r="G21" s="14">
        <f t="shared" si="1"/>
        <v>898</v>
      </c>
      <c r="H21" s="15">
        <f t="shared" si="2"/>
        <v>1779</v>
      </c>
      <c r="I21" s="14">
        <f t="shared" si="3"/>
        <v>560</v>
      </c>
      <c r="J21" s="14">
        <f t="shared" si="4"/>
        <v>16</v>
      </c>
      <c r="K21" s="156"/>
      <c r="L21" s="158">
        <v>623</v>
      </c>
      <c r="M21" s="159">
        <v>258</v>
      </c>
      <c r="N21" s="160">
        <f t="shared" si="5"/>
        <v>881</v>
      </c>
      <c r="O21" s="161">
        <v>10</v>
      </c>
      <c r="P21" s="96"/>
      <c r="Q21" s="158">
        <v>596</v>
      </c>
      <c r="R21" s="159">
        <v>302</v>
      </c>
      <c r="S21" s="160">
        <f t="shared" si="6"/>
        <v>898</v>
      </c>
      <c r="T21" s="161">
        <v>6</v>
      </c>
    </row>
    <row r="22" spans="1:20" ht="18" customHeight="1">
      <c r="A22" s="23">
        <v>10</v>
      </c>
      <c r="B22" s="79"/>
      <c r="C22" s="34" t="s">
        <v>232</v>
      </c>
      <c r="D22" s="33" t="s">
        <v>233</v>
      </c>
      <c r="E22" s="69" t="s">
        <v>79</v>
      </c>
      <c r="F22" s="14">
        <f t="shared" si="0"/>
        <v>876</v>
      </c>
      <c r="G22" s="14">
        <f t="shared" si="1"/>
        <v>860</v>
      </c>
      <c r="H22" s="15">
        <f t="shared" si="2"/>
        <v>1736</v>
      </c>
      <c r="I22" s="14">
        <f t="shared" si="3"/>
        <v>548</v>
      </c>
      <c r="J22" s="14">
        <f t="shared" si="4"/>
        <v>17</v>
      </c>
      <c r="K22" s="156"/>
      <c r="L22" s="158">
        <v>601</v>
      </c>
      <c r="M22" s="159">
        <v>275</v>
      </c>
      <c r="N22" s="160">
        <f t="shared" si="5"/>
        <v>876</v>
      </c>
      <c r="O22" s="161">
        <v>6</v>
      </c>
      <c r="P22" s="96"/>
      <c r="Q22" s="158">
        <v>587</v>
      </c>
      <c r="R22" s="159">
        <v>273</v>
      </c>
      <c r="S22" s="160">
        <f t="shared" si="6"/>
        <v>860</v>
      </c>
      <c r="T22" s="161">
        <v>11</v>
      </c>
    </row>
    <row r="23" spans="1:20" ht="18" customHeight="1">
      <c r="A23" s="23">
        <v>11</v>
      </c>
      <c r="B23" s="132"/>
      <c r="C23" s="34" t="s">
        <v>228</v>
      </c>
      <c r="D23" s="33" t="s">
        <v>229</v>
      </c>
      <c r="E23" s="69" t="s">
        <v>35</v>
      </c>
      <c r="F23" s="14">
        <f t="shared" si="0"/>
        <v>870</v>
      </c>
      <c r="G23" s="14">
        <f t="shared" si="1"/>
        <v>865</v>
      </c>
      <c r="H23" s="15">
        <f t="shared" si="2"/>
        <v>1735</v>
      </c>
      <c r="I23" s="14">
        <f t="shared" si="3"/>
        <v>539</v>
      </c>
      <c r="J23" s="14">
        <f t="shared" si="4"/>
        <v>18</v>
      </c>
      <c r="K23" s="156"/>
      <c r="L23" s="158">
        <v>614</v>
      </c>
      <c r="M23" s="159">
        <v>256</v>
      </c>
      <c r="N23" s="160">
        <f t="shared" si="5"/>
        <v>870</v>
      </c>
      <c r="O23" s="161">
        <v>7</v>
      </c>
      <c r="P23" s="96"/>
      <c r="Q23" s="158">
        <v>582</v>
      </c>
      <c r="R23" s="159">
        <v>283</v>
      </c>
      <c r="S23" s="160">
        <f t="shared" si="6"/>
        <v>865</v>
      </c>
      <c r="T23" s="161">
        <v>11</v>
      </c>
    </row>
    <row r="24" spans="1:20" ht="18" customHeight="1" thickBot="1">
      <c r="A24" s="70">
        <v>12</v>
      </c>
      <c r="B24" s="164"/>
      <c r="C24" s="165" t="s">
        <v>254</v>
      </c>
      <c r="D24" s="66" t="s">
        <v>255</v>
      </c>
      <c r="E24" s="71" t="s">
        <v>126</v>
      </c>
      <c r="F24" s="31">
        <f t="shared" si="0"/>
        <v>884</v>
      </c>
      <c r="G24" s="31">
        <f t="shared" si="1"/>
        <v>819</v>
      </c>
      <c r="H24" s="32">
        <f t="shared" si="2"/>
        <v>1703</v>
      </c>
      <c r="I24" s="31">
        <f t="shared" si="3"/>
        <v>519</v>
      </c>
      <c r="J24" s="31">
        <f t="shared" si="4"/>
        <v>19</v>
      </c>
      <c r="K24" s="166"/>
      <c r="L24" s="167">
        <v>594</v>
      </c>
      <c r="M24" s="168">
        <v>290</v>
      </c>
      <c r="N24" s="169">
        <f t="shared" si="5"/>
        <v>884</v>
      </c>
      <c r="O24" s="170">
        <v>6</v>
      </c>
      <c r="P24" s="171"/>
      <c r="Q24" s="167">
        <v>590</v>
      </c>
      <c r="R24" s="168">
        <v>229</v>
      </c>
      <c r="S24" s="169">
        <f t="shared" si="6"/>
        <v>819</v>
      </c>
      <c r="T24" s="170">
        <v>13</v>
      </c>
    </row>
    <row r="25" spans="1:20" ht="16.5" customHeight="1">
      <c r="A25" s="23">
        <v>13</v>
      </c>
      <c r="B25" s="77"/>
      <c r="C25" s="24" t="s">
        <v>245</v>
      </c>
      <c r="D25" s="172" t="s">
        <v>246</v>
      </c>
      <c r="E25" s="55" t="s">
        <v>85</v>
      </c>
      <c r="F25" s="21">
        <f aca="true" t="shared" si="7" ref="F25:F34">SUM(N25)</f>
        <v>866</v>
      </c>
      <c r="G25" s="21">
        <f aca="true" t="shared" si="8" ref="G25:G36">SUM(S25)</f>
        <v>0</v>
      </c>
      <c r="H25" s="22">
        <f t="shared" si="2"/>
        <v>866</v>
      </c>
      <c r="I25" s="21">
        <f t="shared" si="3"/>
        <v>276</v>
      </c>
      <c r="J25" s="21">
        <f t="shared" si="4"/>
        <v>11</v>
      </c>
      <c r="L25" s="173">
        <v>590</v>
      </c>
      <c r="M25" s="174">
        <v>276</v>
      </c>
      <c r="N25" s="175">
        <f t="shared" si="5"/>
        <v>866</v>
      </c>
      <c r="O25" s="176">
        <v>11</v>
      </c>
      <c r="P25" s="11"/>
      <c r="Q25" s="173"/>
      <c r="R25" s="174"/>
      <c r="S25" s="175">
        <f t="shared" si="6"/>
        <v>0</v>
      </c>
      <c r="T25" s="176"/>
    </row>
    <row r="26" spans="1:20" ht="18" customHeight="1">
      <c r="A26" s="23">
        <v>14</v>
      </c>
      <c r="B26" s="79"/>
      <c r="C26" s="34" t="s">
        <v>317</v>
      </c>
      <c r="D26" s="65" t="s">
        <v>318</v>
      </c>
      <c r="E26" s="69" t="s">
        <v>40</v>
      </c>
      <c r="F26" s="14">
        <f t="shared" si="7"/>
        <v>865</v>
      </c>
      <c r="G26" s="14">
        <f t="shared" si="8"/>
        <v>0</v>
      </c>
      <c r="H26" s="15">
        <f t="shared" si="2"/>
        <v>865</v>
      </c>
      <c r="I26" s="14">
        <f t="shared" si="3"/>
        <v>280</v>
      </c>
      <c r="J26" s="14">
        <f t="shared" si="4"/>
        <v>7</v>
      </c>
      <c r="L26" s="16">
        <v>585</v>
      </c>
      <c r="M26" s="17">
        <v>280</v>
      </c>
      <c r="N26" s="18">
        <f t="shared" si="5"/>
        <v>865</v>
      </c>
      <c r="O26" s="19">
        <v>7</v>
      </c>
      <c r="P26" s="11"/>
      <c r="Q26" s="16"/>
      <c r="R26" s="17"/>
      <c r="S26" s="18">
        <f t="shared" si="6"/>
        <v>0</v>
      </c>
      <c r="T26" s="19"/>
    </row>
    <row r="27" spans="1:20" ht="18" customHeight="1">
      <c r="A27" s="23">
        <v>15</v>
      </c>
      <c r="B27" s="79"/>
      <c r="C27" s="34" t="s">
        <v>241</v>
      </c>
      <c r="D27" s="33" t="s">
        <v>242</v>
      </c>
      <c r="E27" s="69" t="s">
        <v>87</v>
      </c>
      <c r="F27" s="21">
        <f t="shared" si="7"/>
        <v>860</v>
      </c>
      <c r="G27" s="21">
        <f t="shared" si="8"/>
        <v>0</v>
      </c>
      <c r="H27" s="22">
        <f t="shared" si="2"/>
        <v>860</v>
      </c>
      <c r="I27" s="21">
        <f t="shared" si="3"/>
        <v>293</v>
      </c>
      <c r="J27" s="21">
        <f t="shared" si="4"/>
        <v>5</v>
      </c>
      <c r="L27" s="16">
        <v>567</v>
      </c>
      <c r="M27" s="17">
        <v>293</v>
      </c>
      <c r="N27" s="18">
        <f t="shared" si="5"/>
        <v>860</v>
      </c>
      <c r="O27" s="19">
        <v>5</v>
      </c>
      <c r="P27" s="11"/>
      <c r="Q27" s="16"/>
      <c r="R27" s="17"/>
      <c r="S27" s="18">
        <f t="shared" si="6"/>
        <v>0</v>
      </c>
      <c r="T27" s="19"/>
    </row>
    <row r="28" spans="1:20" ht="18" customHeight="1">
      <c r="A28" s="24">
        <v>16</v>
      </c>
      <c r="B28" s="81"/>
      <c r="C28" s="24" t="s">
        <v>243</v>
      </c>
      <c r="D28" s="64" t="s">
        <v>244</v>
      </c>
      <c r="E28" s="69" t="s">
        <v>86</v>
      </c>
      <c r="F28" s="14">
        <f t="shared" si="7"/>
        <v>858</v>
      </c>
      <c r="G28" s="14">
        <f t="shared" si="8"/>
        <v>0</v>
      </c>
      <c r="H28" s="15">
        <f t="shared" si="2"/>
        <v>858</v>
      </c>
      <c r="I28" s="14">
        <f t="shared" si="3"/>
        <v>262</v>
      </c>
      <c r="J28" s="14">
        <f t="shared" si="4"/>
        <v>14</v>
      </c>
      <c r="L28" s="16">
        <v>596</v>
      </c>
      <c r="M28" s="17">
        <v>262</v>
      </c>
      <c r="N28" s="18">
        <f t="shared" si="5"/>
        <v>858</v>
      </c>
      <c r="O28" s="19">
        <v>14</v>
      </c>
      <c r="P28" s="11"/>
      <c r="Q28" s="16"/>
      <c r="R28" s="17"/>
      <c r="S28" s="18">
        <f t="shared" si="6"/>
        <v>0</v>
      </c>
      <c r="T28" s="19"/>
    </row>
    <row r="29" spans="1:20" ht="18" customHeight="1">
      <c r="A29" s="23">
        <v>17</v>
      </c>
      <c r="B29" s="177"/>
      <c r="C29" s="34" t="s">
        <v>230</v>
      </c>
      <c r="D29" s="65" t="s">
        <v>231</v>
      </c>
      <c r="E29" s="69" t="s">
        <v>34</v>
      </c>
      <c r="F29" s="21">
        <f t="shared" si="7"/>
        <v>844</v>
      </c>
      <c r="G29" s="21">
        <f t="shared" si="8"/>
        <v>0</v>
      </c>
      <c r="H29" s="22">
        <f t="shared" si="2"/>
        <v>844</v>
      </c>
      <c r="I29" s="21">
        <f t="shared" si="3"/>
        <v>250</v>
      </c>
      <c r="J29" s="21">
        <f t="shared" si="4"/>
        <v>22</v>
      </c>
      <c r="L29" s="16">
        <v>594</v>
      </c>
      <c r="M29" s="17">
        <v>250</v>
      </c>
      <c r="N29" s="18">
        <f t="shared" si="5"/>
        <v>844</v>
      </c>
      <c r="O29" s="19">
        <v>22</v>
      </c>
      <c r="P29" s="11"/>
      <c r="Q29" s="16"/>
      <c r="R29" s="17"/>
      <c r="S29" s="18">
        <f t="shared" si="6"/>
        <v>0</v>
      </c>
      <c r="T29" s="19"/>
    </row>
    <row r="30" spans="1:20" ht="18" customHeight="1">
      <c r="A30" s="23">
        <v>18</v>
      </c>
      <c r="B30" s="77"/>
      <c r="C30" s="24" t="s">
        <v>299</v>
      </c>
      <c r="D30" s="178" t="s">
        <v>300</v>
      </c>
      <c r="E30" s="69" t="s">
        <v>41</v>
      </c>
      <c r="F30" s="14">
        <f t="shared" si="7"/>
        <v>817</v>
      </c>
      <c r="G30" s="14">
        <f t="shared" si="8"/>
        <v>0</v>
      </c>
      <c r="H30" s="15">
        <f t="shared" si="2"/>
        <v>817</v>
      </c>
      <c r="I30" s="14">
        <f t="shared" si="3"/>
        <v>248</v>
      </c>
      <c r="J30" s="14">
        <f t="shared" si="4"/>
        <v>18</v>
      </c>
      <c r="L30" s="16">
        <v>569</v>
      </c>
      <c r="M30" s="17">
        <v>248</v>
      </c>
      <c r="N30" s="18">
        <f t="shared" si="5"/>
        <v>817</v>
      </c>
      <c r="O30" s="19">
        <v>18</v>
      </c>
      <c r="P30" s="11"/>
      <c r="Q30" s="16"/>
      <c r="R30" s="17"/>
      <c r="S30" s="18">
        <f t="shared" si="6"/>
        <v>0</v>
      </c>
      <c r="T30" s="19"/>
    </row>
    <row r="31" spans="1:20" ht="18" customHeight="1">
      <c r="A31" s="23">
        <v>19</v>
      </c>
      <c r="B31" s="79"/>
      <c r="C31" s="34" t="s">
        <v>290</v>
      </c>
      <c r="D31" s="33" t="s">
        <v>274</v>
      </c>
      <c r="E31" s="69" t="s">
        <v>39</v>
      </c>
      <c r="F31" s="21">
        <f t="shared" si="7"/>
        <v>816</v>
      </c>
      <c r="G31" s="21">
        <f t="shared" si="8"/>
        <v>0</v>
      </c>
      <c r="H31" s="22">
        <f t="shared" si="2"/>
        <v>816</v>
      </c>
      <c r="I31" s="21">
        <f t="shared" si="3"/>
        <v>257</v>
      </c>
      <c r="J31" s="21">
        <f t="shared" si="4"/>
        <v>14</v>
      </c>
      <c r="L31" s="16">
        <v>559</v>
      </c>
      <c r="M31" s="17">
        <v>257</v>
      </c>
      <c r="N31" s="18">
        <f t="shared" si="5"/>
        <v>816</v>
      </c>
      <c r="O31" s="19">
        <v>14</v>
      </c>
      <c r="P31" s="11"/>
      <c r="Q31" s="16"/>
      <c r="R31" s="17"/>
      <c r="S31" s="18">
        <f t="shared" si="6"/>
        <v>0</v>
      </c>
      <c r="T31" s="19"/>
    </row>
    <row r="32" spans="1:20" ht="18" customHeight="1">
      <c r="A32" s="24">
        <v>20</v>
      </c>
      <c r="B32" s="89"/>
      <c r="C32" s="24" t="s">
        <v>273</v>
      </c>
      <c r="D32" s="64" t="s">
        <v>274</v>
      </c>
      <c r="E32" s="69" t="s">
        <v>76</v>
      </c>
      <c r="F32" s="14">
        <f t="shared" si="7"/>
        <v>813</v>
      </c>
      <c r="G32" s="14">
        <f t="shared" si="8"/>
        <v>0</v>
      </c>
      <c r="H32" s="15">
        <f t="shared" si="2"/>
        <v>813</v>
      </c>
      <c r="I32" s="14">
        <f t="shared" si="3"/>
        <v>250</v>
      </c>
      <c r="J32" s="14">
        <f t="shared" si="4"/>
        <v>17</v>
      </c>
      <c r="L32" s="16">
        <v>563</v>
      </c>
      <c r="M32" s="17">
        <v>250</v>
      </c>
      <c r="N32" s="18">
        <f t="shared" si="5"/>
        <v>813</v>
      </c>
      <c r="O32" s="19">
        <v>17</v>
      </c>
      <c r="P32" s="11"/>
      <c r="Q32" s="16"/>
      <c r="R32" s="17"/>
      <c r="S32" s="18">
        <f t="shared" si="6"/>
        <v>0</v>
      </c>
      <c r="T32" s="19"/>
    </row>
    <row r="33" spans="1:20" ht="18" customHeight="1">
      <c r="A33" s="23">
        <v>21</v>
      </c>
      <c r="B33" s="155"/>
      <c r="C33" s="34" t="s">
        <v>247</v>
      </c>
      <c r="D33" s="65" t="s">
        <v>168</v>
      </c>
      <c r="E33" s="69" t="s">
        <v>84</v>
      </c>
      <c r="F33" s="21">
        <f t="shared" si="7"/>
        <v>812</v>
      </c>
      <c r="G33" s="21">
        <f t="shared" si="8"/>
        <v>0</v>
      </c>
      <c r="H33" s="22">
        <f t="shared" si="2"/>
        <v>812</v>
      </c>
      <c r="I33" s="21">
        <f t="shared" si="3"/>
        <v>245</v>
      </c>
      <c r="J33" s="21">
        <f t="shared" si="4"/>
        <v>6</v>
      </c>
      <c r="L33" s="16">
        <v>567</v>
      </c>
      <c r="M33" s="17">
        <v>245</v>
      </c>
      <c r="N33" s="18">
        <f t="shared" si="5"/>
        <v>812</v>
      </c>
      <c r="O33" s="19">
        <v>6</v>
      </c>
      <c r="P33" s="11"/>
      <c r="Q33" s="16"/>
      <c r="R33" s="17"/>
      <c r="S33" s="18">
        <f t="shared" si="6"/>
        <v>0</v>
      </c>
      <c r="T33" s="19"/>
    </row>
    <row r="34" spans="1:20" ht="18" customHeight="1">
      <c r="A34" s="23">
        <v>22</v>
      </c>
      <c r="B34" s="179"/>
      <c r="C34" s="34" t="s">
        <v>297</v>
      </c>
      <c r="D34" s="121" t="s">
        <v>298</v>
      </c>
      <c r="E34" s="69" t="s">
        <v>42</v>
      </c>
      <c r="F34" s="14">
        <f t="shared" si="7"/>
        <v>805</v>
      </c>
      <c r="G34" s="14">
        <f t="shared" si="8"/>
        <v>0</v>
      </c>
      <c r="H34" s="15">
        <f t="shared" si="2"/>
        <v>805</v>
      </c>
      <c r="I34" s="14">
        <f t="shared" si="3"/>
        <v>228</v>
      </c>
      <c r="J34" s="14">
        <f t="shared" si="4"/>
        <v>17</v>
      </c>
      <c r="L34" s="16">
        <v>577</v>
      </c>
      <c r="M34" s="17">
        <v>228</v>
      </c>
      <c r="N34" s="18">
        <f t="shared" si="5"/>
        <v>805</v>
      </c>
      <c r="O34" s="19">
        <v>17</v>
      </c>
      <c r="P34" s="11"/>
      <c r="Q34" s="16"/>
      <c r="R34" s="17"/>
      <c r="S34" s="18">
        <f t="shared" si="6"/>
        <v>0</v>
      </c>
      <c r="T34" s="19"/>
    </row>
    <row r="35" spans="1:20" ht="18" customHeight="1">
      <c r="A35" s="23"/>
      <c r="B35" s="180"/>
      <c r="C35" s="96" t="s">
        <v>226</v>
      </c>
      <c r="D35" s="83" t="s">
        <v>227</v>
      </c>
      <c r="E35" s="55" t="s">
        <v>36</v>
      </c>
      <c r="F35" s="189" t="s">
        <v>356</v>
      </c>
      <c r="G35" s="21">
        <f t="shared" si="8"/>
        <v>0</v>
      </c>
      <c r="H35" s="22">
        <f t="shared" si="2"/>
        <v>0</v>
      </c>
      <c r="I35" s="21">
        <f t="shared" si="3"/>
        <v>0</v>
      </c>
      <c r="J35" s="21">
        <f t="shared" si="4"/>
        <v>0</v>
      </c>
      <c r="L35" s="16"/>
      <c r="M35" s="17"/>
      <c r="N35" s="18">
        <f t="shared" si="5"/>
        <v>0</v>
      </c>
      <c r="O35" s="19"/>
      <c r="P35" s="11"/>
      <c r="Q35" s="16"/>
      <c r="R35" s="17"/>
      <c r="S35" s="18">
        <f t="shared" si="6"/>
        <v>0</v>
      </c>
      <c r="T35" s="19"/>
    </row>
    <row r="36" spans="1:20" ht="18" customHeight="1">
      <c r="A36" s="24"/>
      <c r="B36" s="80"/>
      <c r="C36" s="34" t="s">
        <v>248</v>
      </c>
      <c r="D36" s="83" t="s">
        <v>249</v>
      </c>
      <c r="E36" s="55" t="s">
        <v>83</v>
      </c>
      <c r="F36" s="191" t="s">
        <v>356</v>
      </c>
      <c r="G36" s="14">
        <f t="shared" si="8"/>
        <v>0</v>
      </c>
      <c r="H36" s="15">
        <f t="shared" si="2"/>
        <v>0</v>
      </c>
      <c r="I36" s="14">
        <f t="shared" si="3"/>
        <v>0</v>
      </c>
      <c r="J36" s="14">
        <f t="shared" si="4"/>
        <v>0</v>
      </c>
      <c r="L36" s="16"/>
      <c r="M36" s="17"/>
      <c r="N36" s="18">
        <f t="shared" si="5"/>
        <v>0</v>
      </c>
      <c r="O36" s="19"/>
      <c r="P36" s="11"/>
      <c r="Q36" s="16"/>
      <c r="R36" s="17"/>
      <c r="S36" s="18">
        <f t="shared" si="6"/>
        <v>0</v>
      </c>
      <c r="T36" s="19"/>
    </row>
    <row r="37" spans="1:20" ht="13.5" customHeight="1">
      <c r="A37" s="12"/>
      <c r="B37" s="82"/>
      <c r="C37" s="5"/>
      <c r="D37" s="28"/>
      <c r="E37" s="10"/>
      <c r="F37" s="37"/>
      <c r="G37" s="37"/>
      <c r="H37" s="29"/>
      <c r="I37" s="37"/>
      <c r="J37" s="37"/>
      <c r="L37" s="12"/>
      <c r="M37" s="12"/>
      <c r="N37" s="30"/>
      <c r="O37" s="12"/>
      <c r="P37" s="20"/>
      <c r="Q37" s="12"/>
      <c r="R37" s="12"/>
      <c r="S37" s="30"/>
      <c r="T37" s="12"/>
    </row>
    <row r="38" spans="1:20" ht="13.5" customHeight="1">
      <c r="A38" t="s">
        <v>132</v>
      </c>
      <c r="B38" s="79"/>
      <c r="F38" s="37"/>
      <c r="G38" s="37"/>
      <c r="H38" s="29"/>
      <c r="I38" s="37"/>
      <c r="J38" s="37"/>
      <c r="L38" s="12"/>
      <c r="M38" s="12"/>
      <c r="N38" s="30"/>
      <c r="O38" s="12"/>
      <c r="P38" s="20"/>
      <c r="Q38" s="12"/>
      <c r="R38" s="12"/>
      <c r="S38" s="30"/>
      <c r="T38" s="12"/>
    </row>
    <row r="39" spans="4:5" ht="13.5" customHeight="1">
      <c r="D39" s="6"/>
      <c r="E39" s="7"/>
    </row>
    <row r="40" spans="1:5" ht="13.5" customHeight="1">
      <c r="A40" s="8" t="s">
        <v>133</v>
      </c>
      <c r="D40" s="6"/>
      <c r="E40" s="7"/>
    </row>
    <row r="41" ht="12.75">
      <c r="A41" s="9" t="s">
        <v>134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9">
      <selection activeCell="V35" sqref="V35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297" t="s">
        <v>135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5">
      <c r="A2" s="297" t="s">
        <v>136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tr">
        <f>'U23m'!A3</f>
        <v>09. / 10. März 2013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142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/>
      <c r="Q8"/>
      <c r="R8"/>
      <c r="S8"/>
      <c r="T8"/>
    </row>
    <row r="9" spans="1:20" s="35" customFormat="1" ht="15.75" customHeight="1">
      <c r="A9" s="301" t="s">
        <v>206</v>
      </c>
      <c r="B9" s="301"/>
      <c r="C9" s="301"/>
      <c r="D9" s="301"/>
      <c r="E9" s="301"/>
      <c r="F9" s="301"/>
      <c r="G9" s="301"/>
      <c r="H9" s="301"/>
      <c r="I9" s="301"/>
      <c r="J9" s="301"/>
      <c r="K9"/>
      <c r="L9"/>
      <c r="M9"/>
      <c r="N9"/>
      <c r="O9"/>
      <c r="P9"/>
      <c r="Q9"/>
      <c r="R9"/>
      <c r="S9"/>
      <c r="T9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11"/>
      <c r="Q11" s="298" t="s">
        <v>12</v>
      </c>
      <c r="R11" s="299"/>
      <c r="S11" s="299"/>
      <c r="T11" s="300"/>
    </row>
    <row r="12" spans="1:20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3"/>
      <c r="Q12" s="51" t="s">
        <v>13</v>
      </c>
      <c r="R12" s="52" t="s">
        <v>14</v>
      </c>
      <c r="S12" s="53" t="s">
        <v>15</v>
      </c>
      <c r="T12" s="54" t="s">
        <v>10</v>
      </c>
    </row>
    <row r="13" spans="1:20" ht="18" customHeight="1">
      <c r="A13" s="182">
        <v>1</v>
      </c>
      <c r="B13" s="267"/>
      <c r="C13" s="181" t="s">
        <v>207</v>
      </c>
      <c r="D13" s="206" t="s">
        <v>208</v>
      </c>
      <c r="E13" s="185" t="s">
        <v>36</v>
      </c>
      <c r="F13" s="124">
        <f aca="true" t="shared" si="0" ref="F13:F32">SUM(N13)</f>
        <v>471</v>
      </c>
      <c r="G13" s="124">
        <f aca="true" t="shared" si="1" ref="G13:G28">SUM(S13)</f>
        <v>460</v>
      </c>
      <c r="H13" s="125">
        <f aca="true" t="shared" si="2" ref="H13:H32">SUM(F13:G13)</f>
        <v>931</v>
      </c>
      <c r="I13" s="124">
        <f aca="true" t="shared" si="3" ref="I13:I28">SUM(M13+R13)</f>
        <v>322</v>
      </c>
      <c r="J13" s="124">
        <f aca="true" t="shared" si="4" ref="J13:J28">SUM(O13+T13)</f>
        <v>7</v>
      </c>
      <c r="L13" s="16">
        <v>300</v>
      </c>
      <c r="M13" s="17">
        <v>171</v>
      </c>
      <c r="N13" s="18">
        <f aca="true" t="shared" si="5" ref="N13:N28">SUM(L13:M13)</f>
        <v>471</v>
      </c>
      <c r="O13" s="19">
        <v>2</v>
      </c>
      <c r="P13" s="11"/>
      <c r="Q13" s="16">
        <v>309</v>
      </c>
      <c r="R13" s="17">
        <v>151</v>
      </c>
      <c r="S13" s="18">
        <f>SUM(Q13:R13)</f>
        <v>460</v>
      </c>
      <c r="T13" s="19">
        <v>5</v>
      </c>
    </row>
    <row r="14" spans="1:20" ht="18" customHeight="1">
      <c r="A14" s="272">
        <v>2</v>
      </c>
      <c r="B14" s="269"/>
      <c r="C14" s="181" t="s">
        <v>220</v>
      </c>
      <c r="D14" s="123" t="s">
        <v>260</v>
      </c>
      <c r="E14" s="186" t="s">
        <v>88</v>
      </c>
      <c r="F14" s="124">
        <f t="shared" si="0"/>
        <v>460</v>
      </c>
      <c r="G14" s="124">
        <f t="shared" si="1"/>
        <v>468</v>
      </c>
      <c r="H14" s="125">
        <f t="shared" si="2"/>
        <v>928</v>
      </c>
      <c r="I14" s="124">
        <f t="shared" si="3"/>
        <v>311</v>
      </c>
      <c r="J14" s="124">
        <f t="shared" si="4"/>
        <v>4</v>
      </c>
      <c r="L14" s="16">
        <v>300</v>
      </c>
      <c r="M14" s="17">
        <v>160</v>
      </c>
      <c r="N14" s="18">
        <f t="shared" si="5"/>
        <v>460</v>
      </c>
      <c r="O14" s="19">
        <v>2</v>
      </c>
      <c r="P14" s="11"/>
      <c r="Q14" s="16">
        <v>317</v>
      </c>
      <c r="R14" s="17">
        <v>151</v>
      </c>
      <c r="S14" s="18">
        <v>468</v>
      </c>
      <c r="T14" s="19">
        <v>2</v>
      </c>
    </row>
    <row r="15" spans="1:20" ht="18" customHeight="1">
      <c r="A15" s="273">
        <v>3</v>
      </c>
      <c r="B15" s="284"/>
      <c r="C15" s="181" t="s">
        <v>256</v>
      </c>
      <c r="D15" s="133" t="s">
        <v>258</v>
      </c>
      <c r="E15" s="185" t="s">
        <v>31</v>
      </c>
      <c r="F15" s="194">
        <f t="shared" si="0"/>
        <v>450</v>
      </c>
      <c r="G15" s="194">
        <f t="shared" si="1"/>
        <v>451</v>
      </c>
      <c r="H15" s="209">
        <f t="shared" si="2"/>
        <v>901</v>
      </c>
      <c r="I15" s="194">
        <f t="shared" si="3"/>
        <v>298</v>
      </c>
      <c r="J15" s="194">
        <f t="shared" si="4"/>
        <v>9</v>
      </c>
      <c r="L15" s="16">
        <v>302</v>
      </c>
      <c r="M15" s="17">
        <v>148</v>
      </c>
      <c r="N15" s="18">
        <f t="shared" si="5"/>
        <v>450</v>
      </c>
      <c r="O15" s="19">
        <v>4</v>
      </c>
      <c r="P15" s="11"/>
      <c r="Q15" s="16">
        <v>301</v>
      </c>
      <c r="R15" s="17">
        <v>150</v>
      </c>
      <c r="S15" s="18">
        <f aca="true" t="shared" si="6" ref="S15:S22">SUM(Q15:R15)</f>
        <v>451</v>
      </c>
      <c r="T15" s="19">
        <v>5</v>
      </c>
    </row>
    <row r="16" spans="1:20" ht="18" customHeight="1">
      <c r="A16" s="199">
        <v>4</v>
      </c>
      <c r="B16" s="275"/>
      <c r="C16" s="285" t="s">
        <v>209</v>
      </c>
      <c r="D16" s="276" t="s">
        <v>210</v>
      </c>
      <c r="E16" s="286" t="s">
        <v>35</v>
      </c>
      <c r="F16" s="26">
        <f t="shared" si="0"/>
        <v>460</v>
      </c>
      <c r="G16" s="26">
        <f t="shared" si="1"/>
        <v>419</v>
      </c>
      <c r="H16" s="27">
        <f t="shared" si="2"/>
        <v>879</v>
      </c>
      <c r="I16" s="26">
        <f t="shared" si="3"/>
        <v>294</v>
      </c>
      <c r="J16" s="26">
        <f t="shared" si="4"/>
        <v>2</v>
      </c>
      <c r="L16" s="16">
        <v>309</v>
      </c>
      <c r="M16" s="17">
        <v>151</v>
      </c>
      <c r="N16" s="18">
        <f t="shared" si="5"/>
        <v>460</v>
      </c>
      <c r="O16" s="19">
        <v>2</v>
      </c>
      <c r="P16" s="11"/>
      <c r="Q16" s="16">
        <v>276</v>
      </c>
      <c r="R16" s="17">
        <v>143</v>
      </c>
      <c r="S16" s="18">
        <f t="shared" si="6"/>
        <v>419</v>
      </c>
      <c r="T16" s="19">
        <v>0</v>
      </c>
    </row>
    <row r="17" spans="1:20" ht="18" customHeight="1" thickBot="1">
      <c r="A17" s="120">
        <v>5</v>
      </c>
      <c r="B17" s="261"/>
      <c r="C17" s="120" t="s">
        <v>349</v>
      </c>
      <c r="D17" s="277" t="s">
        <v>350</v>
      </c>
      <c r="E17" s="287" t="s">
        <v>30</v>
      </c>
      <c r="F17" s="31">
        <f t="shared" si="0"/>
        <v>446</v>
      </c>
      <c r="G17" s="31">
        <f t="shared" si="1"/>
        <v>428</v>
      </c>
      <c r="H17" s="32">
        <f t="shared" si="2"/>
        <v>874</v>
      </c>
      <c r="I17" s="31">
        <f t="shared" si="3"/>
        <v>289</v>
      </c>
      <c r="J17" s="31">
        <f t="shared" si="4"/>
        <v>7</v>
      </c>
      <c r="L17" s="16">
        <v>295</v>
      </c>
      <c r="M17" s="17">
        <v>151</v>
      </c>
      <c r="N17" s="18">
        <f t="shared" si="5"/>
        <v>446</v>
      </c>
      <c r="O17" s="19">
        <v>3</v>
      </c>
      <c r="P17" s="11"/>
      <c r="Q17" s="16">
        <v>290</v>
      </c>
      <c r="R17" s="17">
        <v>138</v>
      </c>
      <c r="S17" s="18">
        <f t="shared" si="6"/>
        <v>428</v>
      </c>
      <c r="T17" s="19">
        <v>4</v>
      </c>
    </row>
    <row r="18" spans="1:20" ht="16.5" customHeight="1">
      <c r="A18" s="24">
        <v>6</v>
      </c>
      <c r="B18" s="278"/>
      <c r="C18" s="24" t="s">
        <v>215</v>
      </c>
      <c r="D18" s="64" t="s">
        <v>216</v>
      </c>
      <c r="E18" s="55" t="s">
        <v>78</v>
      </c>
      <c r="F18" s="21">
        <f t="shared" si="0"/>
        <v>414</v>
      </c>
      <c r="G18" s="21">
        <f t="shared" si="1"/>
        <v>427</v>
      </c>
      <c r="H18" s="22">
        <f t="shared" si="2"/>
        <v>841</v>
      </c>
      <c r="I18" s="21">
        <f t="shared" si="3"/>
        <v>269</v>
      </c>
      <c r="J18" s="21">
        <f t="shared" si="4"/>
        <v>10</v>
      </c>
      <c r="L18" s="16">
        <v>287</v>
      </c>
      <c r="M18" s="17">
        <v>127</v>
      </c>
      <c r="N18" s="18">
        <f t="shared" si="5"/>
        <v>414</v>
      </c>
      <c r="O18" s="19">
        <v>5</v>
      </c>
      <c r="P18" s="11"/>
      <c r="Q18" s="16">
        <v>285</v>
      </c>
      <c r="R18" s="17">
        <v>142</v>
      </c>
      <c r="S18" s="18">
        <f t="shared" si="6"/>
        <v>427</v>
      </c>
      <c r="T18" s="19">
        <v>5</v>
      </c>
    </row>
    <row r="19" spans="1:20" ht="17.25" customHeight="1">
      <c r="A19" s="23">
        <v>7</v>
      </c>
      <c r="B19" s="279"/>
      <c r="C19" s="23" t="s">
        <v>213</v>
      </c>
      <c r="D19" s="99" t="s">
        <v>214</v>
      </c>
      <c r="E19" s="69" t="s">
        <v>79</v>
      </c>
      <c r="F19" s="21">
        <f t="shared" si="0"/>
        <v>410</v>
      </c>
      <c r="G19" s="21">
        <f t="shared" si="1"/>
        <v>423</v>
      </c>
      <c r="H19" s="22">
        <f t="shared" si="2"/>
        <v>833</v>
      </c>
      <c r="I19" s="21">
        <f t="shared" si="3"/>
        <v>272</v>
      </c>
      <c r="J19" s="21">
        <f t="shared" si="4"/>
        <v>17</v>
      </c>
      <c r="L19" s="16">
        <v>279</v>
      </c>
      <c r="M19" s="17">
        <v>131</v>
      </c>
      <c r="N19" s="18">
        <f t="shared" si="5"/>
        <v>410</v>
      </c>
      <c r="O19" s="19">
        <v>8</v>
      </c>
      <c r="P19" s="11"/>
      <c r="Q19" s="16">
        <v>282</v>
      </c>
      <c r="R19" s="17">
        <v>141</v>
      </c>
      <c r="S19" s="18">
        <f t="shared" si="6"/>
        <v>423</v>
      </c>
      <c r="T19" s="19">
        <v>9</v>
      </c>
    </row>
    <row r="20" spans="1:20" ht="18" customHeight="1">
      <c r="A20" s="24">
        <v>8</v>
      </c>
      <c r="B20" s="98"/>
      <c r="C20" s="34" t="s">
        <v>347</v>
      </c>
      <c r="D20" s="280" t="s">
        <v>348</v>
      </c>
      <c r="E20" s="69" t="s">
        <v>77</v>
      </c>
      <c r="F20" s="14">
        <f t="shared" si="0"/>
        <v>419</v>
      </c>
      <c r="G20" s="14">
        <f t="shared" si="1"/>
        <v>400</v>
      </c>
      <c r="H20" s="15">
        <f t="shared" si="2"/>
        <v>819</v>
      </c>
      <c r="I20" s="14">
        <f t="shared" si="3"/>
        <v>252</v>
      </c>
      <c r="J20" s="14">
        <f t="shared" si="4"/>
        <v>18</v>
      </c>
      <c r="L20" s="16">
        <v>288</v>
      </c>
      <c r="M20" s="17">
        <v>131</v>
      </c>
      <c r="N20" s="18">
        <f t="shared" si="5"/>
        <v>419</v>
      </c>
      <c r="O20" s="19">
        <v>9</v>
      </c>
      <c r="P20" s="11"/>
      <c r="Q20" s="16">
        <v>279</v>
      </c>
      <c r="R20" s="17">
        <v>121</v>
      </c>
      <c r="S20" s="18">
        <f t="shared" si="6"/>
        <v>400</v>
      </c>
      <c r="T20" s="19">
        <v>9</v>
      </c>
    </row>
    <row r="21" spans="1:20" ht="17.25" customHeight="1">
      <c r="A21" s="25">
        <v>9</v>
      </c>
      <c r="B21" s="275"/>
      <c r="C21" s="34" t="s">
        <v>218</v>
      </c>
      <c r="D21" s="33" t="s">
        <v>219</v>
      </c>
      <c r="E21" s="69" t="s">
        <v>89</v>
      </c>
      <c r="F21" s="14">
        <f t="shared" si="0"/>
        <v>419</v>
      </c>
      <c r="G21" s="14">
        <f t="shared" si="1"/>
        <v>394</v>
      </c>
      <c r="H21" s="15">
        <f t="shared" si="2"/>
        <v>813</v>
      </c>
      <c r="I21" s="14">
        <f t="shared" si="3"/>
        <v>250</v>
      </c>
      <c r="J21" s="14">
        <f t="shared" si="4"/>
        <v>12</v>
      </c>
      <c r="L21" s="16">
        <v>285</v>
      </c>
      <c r="M21" s="17">
        <v>134</v>
      </c>
      <c r="N21" s="18">
        <f t="shared" si="5"/>
        <v>419</v>
      </c>
      <c r="O21" s="19">
        <v>7</v>
      </c>
      <c r="P21" s="11"/>
      <c r="Q21" s="16">
        <v>278</v>
      </c>
      <c r="R21" s="17">
        <v>116</v>
      </c>
      <c r="S21" s="18">
        <f t="shared" si="6"/>
        <v>394</v>
      </c>
      <c r="T21" s="19">
        <v>5</v>
      </c>
    </row>
    <row r="22" spans="1:20" ht="16.5" customHeight="1">
      <c r="A22" s="24">
        <v>10</v>
      </c>
      <c r="B22" s="81"/>
      <c r="C22" s="24" t="s">
        <v>326</v>
      </c>
      <c r="D22" s="83" t="s">
        <v>328</v>
      </c>
      <c r="E22" s="69" t="s">
        <v>32</v>
      </c>
      <c r="F22" s="14">
        <f t="shared" si="0"/>
        <v>413</v>
      </c>
      <c r="G22" s="14">
        <f t="shared" si="1"/>
        <v>399</v>
      </c>
      <c r="H22" s="15">
        <f t="shared" si="2"/>
        <v>812</v>
      </c>
      <c r="I22" s="14">
        <f t="shared" si="3"/>
        <v>247</v>
      </c>
      <c r="J22" s="14">
        <f t="shared" si="4"/>
        <v>16</v>
      </c>
      <c r="L22" s="16">
        <v>282</v>
      </c>
      <c r="M22" s="17">
        <v>131</v>
      </c>
      <c r="N22" s="18">
        <f t="shared" si="5"/>
        <v>413</v>
      </c>
      <c r="O22" s="19">
        <v>10</v>
      </c>
      <c r="P22" s="11"/>
      <c r="Q22" s="16">
        <v>283</v>
      </c>
      <c r="R22" s="17">
        <v>116</v>
      </c>
      <c r="S22" s="18">
        <f t="shared" si="6"/>
        <v>399</v>
      </c>
      <c r="T22" s="19">
        <v>6</v>
      </c>
    </row>
    <row r="23" spans="1:20" ht="18" customHeight="1">
      <c r="A23" s="23">
        <v>11</v>
      </c>
      <c r="B23" s="281"/>
      <c r="C23" s="113" t="s">
        <v>257</v>
      </c>
      <c r="D23" s="85" t="s">
        <v>212</v>
      </c>
      <c r="E23" s="69" t="s">
        <v>73</v>
      </c>
      <c r="F23" s="21">
        <f t="shared" si="0"/>
        <v>426</v>
      </c>
      <c r="G23" s="21">
        <f t="shared" si="1"/>
        <v>383</v>
      </c>
      <c r="H23" s="22">
        <f t="shared" si="2"/>
        <v>809</v>
      </c>
      <c r="I23" s="21">
        <f t="shared" si="3"/>
        <v>256</v>
      </c>
      <c r="J23" s="21">
        <f t="shared" si="4"/>
        <v>14</v>
      </c>
      <c r="L23" s="16">
        <v>285</v>
      </c>
      <c r="M23" s="17">
        <v>141</v>
      </c>
      <c r="N23" s="18">
        <f t="shared" si="5"/>
        <v>426</v>
      </c>
      <c r="O23" s="19">
        <v>6</v>
      </c>
      <c r="P23" s="11"/>
      <c r="Q23" s="16">
        <v>268</v>
      </c>
      <c r="R23" s="17">
        <v>115</v>
      </c>
      <c r="S23" s="18">
        <v>383</v>
      </c>
      <c r="T23" s="19">
        <v>8</v>
      </c>
    </row>
    <row r="24" spans="1:20" ht="16.5" customHeight="1">
      <c r="A24" s="24">
        <v>12</v>
      </c>
      <c r="B24" s="81"/>
      <c r="C24" s="34" t="s">
        <v>221</v>
      </c>
      <c r="D24" s="33" t="s">
        <v>222</v>
      </c>
      <c r="E24" s="69" t="s">
        <v>87</v>
      </c>
      <c r="F24" s="14">
        <f t="shared" si="0"/>
        <v>398</v>
      </c>
      <c r="G24" s="14">
        <f t="shared" si="1"/>
        <v>0</v>
      </c>
      <c r="H24" s="15">
        <f t="shared" si="2"/>
        <v>398</v>
      </c>
      <c r="I24" s="14">
        <f t="shared" si="3"/>
        <v>98</v>
      </c>
      <c r="J24" s="14">
        <f t="shared" si="4"/>
        <v>16</v>
      </c>
      <c r="L24" s="16">
        <v>300</v>
      </c>
      <c r="M24" s="17">
        <v>98</v>
      </c>
      <c r="N24" s="18">
        <f t="shared" si="5"/>
        <v>398</v>
      </c>
      <c r="O24" s="19">
        <v>16</v>
      </c>
      <c r="P24" s="11"/>
      <c r="Q24" s="16"/>
      <c r="R24" s="17"/>
      <c r="S24" s="18">
        <f aca="true" t="shared" si="7" ref="S24:S32">SUM(Q24:R24)</f>
        <v>0</v>
      </c>
      <c r="T24" s="19"/>
    </row>
    <row r="25" spans="1:20" ht="18" customHeight="1">
      <c r="A25" s="25">
        <v>13</v>
      </c>
      <c r="B25" s="112"/>
      <c r="C25" s="34" t="s">
        <v>223</v>
      </c>
      <c r="D25" s="65" t="s">
        <v>224</v>
      </c>
      <c r="E25" s="69" t="s">
        <v>32</v>
      </c>
      <c r="F25" s="14">
        <f t="shared" si="0"/>
        <v>394</v>
      </c>
      <c r="G25" s="14">
        <f t="shared" si="1"/>
        <v>0</v>
      </c>
      <c r="H25" s="15">
        <f t="shared" si="2"/>
        <v>394</v>
      </c>
      <c r="I25" s="14">
        <f t="shared" si="3"/>
        <v>132</v>
      </c>
      <c r="J25" s="14">
        <f t="shared" si="4"/>
        <v>8</v>
      </c>
      <c r="L25" s="16">
        <v>262</v>
      </c>
      <c r="M25" s="17">
        <v>132</v>
      </c>
      <c r="N25" s="18">
        <f t="shared" si="5"/>
        <v>394</v>
      </c>
      <c r="O25" s="19">
        <v>8</v>
      </c>
      <c r="P25" s="11"/>
      <c r="Q25" s="16"/>
      <c r="R25" s="17"/>
      <c r="S25" s="18">
        <f t="shared" si="7"/>
        <v>0</v>
      </c>
      <c r="T25" s="19"/>
    </row>
    <row r="26" spans="1:20" ht="18" customHeight="1">
      <c r="A26" s="24">
        <v>14</v>
      </c>
      <c r="B26" s="80"/>
      <c r="C26" s="34" t="s">
        <v>369</v>
      </c>
      <c r="D26" s="280" t="s">
        <v>370</v>
      </c>
      <c r="E26" s="69" t="s">
        <v>33</v>
      </c>
      <c r="F26" s="14">
        <f t="shared" si="0"/>
        <v>394</v>
      </c>
      <c r="G26" s="14">
        <f t="shared" si="1"/>
        <v>0</v>
      </c>
      <c r="H26" s="15">
        <f t="shared" si="2"/>
        <v>394</v>
      </c>
      <c r="I26" s="14">
        <f t="shared" si="3"/>
        <v>97</v>
      </c>
      <c r="J26" s="14">
        <f t="shared" si="4"/>
        <v>11</v>
      </c>
      <c r="L26" s="16">
        <v>297</v>
      </c>
      <c r="M26" s="17">
        <v>97</v>
      </c>
      <c r="N26" s="18">
        <f t="shared" si="5"/>
        <v>394</v>
      </c>
      <c r="O26" s="19">
        <v>11</v>
      </c>
      <c r="P26" s="11"/>
      <c r="Q26" s="16"/>
      <c r="R26" s="17"/>
      <c r="S26" s="18">
        <f t="shared" si="7"/>
        <v>0</v>
      </c>
      <c r="T26" s="19"/>
    </row>
    <row r="27" spans="1:20" ht="18" customHeight="1">
      <c r="A27" s="25">
        <v>15</v>
      </c>
      <c r="B27" s="77"/>
      <c r="C27" s="84" t="s">
        <v>275</v>
      </c>
      <c r="D27" s="64" t="s">
        <v>276</v>
      </c>
      <c r="E27" s="69" t="s">
        <v>76</v>
      </c>
      <c r="F27" s="14">
        <f t="shared" si="0"/>
        <v>389</v>
      </c>
      <c r="G27" s="14">
        <f t="shared" si="1"/>
        <v>0</v>
      </c>
      <c r="H27" s="15">
        <f t="shared" si="2"/>
        <v>389</v>
      </c>
      <c r="I27" s="14">
        <f t="shared" si="3"/>
        <v>124</v>
      </c>
      <c r="J27" s="14">
        <f t="shared" si="4"/>
        <v>13</v>
      </c>
      <c r="L27" s="16">
        <v>265</v>
      </c>
      <c r="M27" s="17">
        <v>124</v>
      </c>
      <c r="N27" s="18">
        <f t="shared" si="5"/>
        <v>389</v>
      </c>
      <c r="O27" s="19">
        <v>13</v>
      </c>
      <c r="P27" s="11"/>
      <c r="Q27" s="16"/>
      <c r="R27" s="17"/>
      <c r="S27" s="18">
        <f t="shared" si="7"/>
        <v>0</v>
      </c>
      <c r="T27" s="19"/>
    </row>
    <row r="28" spans="1:20" ht="18" customHeight="1">
      <c r="A28" s="24">
        <v>16</v>
      </c>
      <c r="B28" s="78"/>
      <c r="C28" s="34" t="s">
        <v>325</v>
      </c>
      <c r="D28" s="33" t="s">
        <v>327</v>
      </c>
      <c r="E28" s="69" t="s">
        <v>18</v>
      </c>
      <c r="F28" s="14">
        <f t="shared" si="0"/>
        <v>384</v>
      </c>
      <c r="G28" s="14">
        <f t="shared" si="1"/>
        <v>0</v>
      </c>
      <c r="H28" s="15">
        <f t="shared" si="2"/>
        <v>384</v>
      </c>
      <c r="I28" s="14">
        <f t="shared" si="3"/>
        <v>112</v>
      </c>
      <c r="J28" s="14">
        <f t="shared" si="4"/>
        <v>11</v>
      </c>
      <c r="L28" s="16">
        <v>272</v>
      </c>
      <c r="M28" s="17">
        <v>112</v>
      </c>
      <c r="N28" s="18">
        <f t="shared" si="5"/>
        <v>384</v>
      </c>
      <c r="O28" s="19">
        <v>11</v>
      </c>
      <c r="P28" s="11"/>
      <c r="Q28" s="16"/>
      <c r="R28" s="17"/>
      <c r="S28" s="18">
        <f t="shared" si="7"/>
        <v>0</v>
      </c>
      <c r="T28" s="19"/>
    </row>
    <row r="29" spans="1:20" ht="18" customHeight="1">
      <c r="A29" s="23">
        <v>17</v>
      </c>
      <c r="B29" s="77"/>
      <c r="C29" s="282" t="s">
        <v>291</v>
      </c>
      <c r="D29" s="94" t="s">
        <v>292</v>
      </c>
      <c r="E29" s="69" t="s">
        <v>17</v>
      </c>
      <c r="F29" s="21">
        <f t="shared" si="0"/>
        <v>359</v>
      </c>
      <c r="G29" s="21"/>
      <c r="H29" s="22">
        <f t="shared" si="2"/>
        <v>359</v>
      </c>
      <c r="I29" s="21">
        <v>86</v>
      </c>
      <c r="J29" s="21">
        <v>16</v>
      </c>
      <c r="L29" s="16">
        <v>273</v>
      </c>
      <c r="M29" s="17">
        <v>86</v>
      </c>
      <c r="N29" s="18">
        <v>359</v>
      </c>
      <c r="O29" s="19">
        <v>16</v>
      </c>
      <c r="P29" s="11"/>
      <c r="Q29" s="16"/>
      <c r="R29" s="17"/>
      <c r="S29" s="18">
        <f t="shared" si="7"/>
        <v>0</v>
      </c>
      <c r="T29" s="19"/>
    </row>
    <row r="30" spans="1:20" ht="18" customHeight="1">
      <c r="A30" s="24">
        <v>18</v>
      </c>
      <c r="B30" s="78"/>
      <c r="C30" s="96" t="s">
        <v>296</v>
      </c>
      <c r="D30" s="122" t="s">
        <v>208</v>
      </c>
      <c r="E30" s="69" t="s">
        <v>43</v>
      </c>
      <c r="F30" s="14">
        <f t="shared" si="0"/>
        <v>353</v>
      </c>
      <c r="G30" s="14">
        <f>SUM(S30)</f>
        <v>0</v>
      </c>
      <c r="H30" s="15">
        <f t="shared" si="2"/>
        <v>353</v>
      </c>
      <c r="I30" s="14">
        <f>SUM(M30+R30)</f>
        <v>122</v>
      </c>
      <c r="J30" s="14">
        <f>SUM(O30+T30)</f>
        <v>9</v>
      </c>
      <c r="L30" s="16">
        <v>231</v>
      </c>
      <c r="M30" s="17">
        <v>122</v>
      </c>
      <c r="N30" s="18">
        <f>SUM(L30:M30)</f>
        <v>353</v>
      </c>
      <c r="O30" s="19">
        <v>9</v>
      </c>
      <c r="P30" s="11"/>
      <c r="Q30" s="16"/>
      <c r="R30" s="17"/>
      <c r="S30" s="18">
        <f t="shared" si="7"/>
        <v>0</v>
      </c>
      <c r="T30" s="19"/>
    </row>
    <row r="31" spans="1:20" ht="18" customHeight="1">
      <c r="A31" s="25">
        <v>19</v>
      </c>
      <c r="B31" s="283"/>
      <c r="C31" s="34" t="s">
        <v>371</v>
      </c>
      <c r="D31" s="64" t="s">
        <v>217</v>
      </c>
      <c r="E31" s="75" t="s">
        <v>80</v>
      </c>
      <c r="F31" s="14">
        <f t="shared" si="0"/>
        <v>180</v>
      </c>
      <c r="G31" s="14">
        <f>SUM(S31)</f>
        <v>0</v>
      </c>
      <c r="H31" s="15">
        <f t="shared" si="2"/>
        <v>180</v>
      </c>
      <c r="I31" s="14">
        <f>SUM(M31+R31)</f>
        <v>45</v>
      </c>
      <c r="J31" s="14">
        <f>SUM(O31+T31)</f>
        <v>5</v>
      </c>
      <c r="L31" s="16">
        <v>135</v>
      </c>
      <c r="M31" s="17">
        <v>45</v>
      </c>
      <c r="N31" s="18">
        <f>SUM(L31:M31)</f>
        <v>180</v>
      </c>
      <c r="O31" s="19">
        <v>5</v>
      </c>
      <c r="P31" s="11"/>
      <c r="Q31" s="16"/>
      <c r="R31" s="17"/>
      <c r="S31" s="18">
        <f t="shared" si="7"/>
        <v>0</v>
      </c>
      <c r="T31" s="19"/>
    </row>
    <row r="32" spans="1:20" ht="18" customHeight="1">
      <c r="A32" s="24"/>
      <c r="B32" s="98"/>
      <c r="C32" s="24" t="s">
        <v>211</v>
      </c>
      <c r="D32" s="83" t="s">
        <v>212</v>
      </c>
      <c r="E32" s="69" t="s">
        <v>34</v>
      </c>
      <c r="F32" s="14">
        <f t="shared" si="0"/>
        <v>0</v>
      </c>
      <c r="G32" s="14">
        <f>SUM(S32)</f>
        <v>0</v>
      </c>
      <c r="H32" s="15">
        <f t="shared" si="2"/>
        <v>0</v>
      </c>
      <c r="I32" s="14">
        <f>SUM(M32+R32)</f>
        <v>0</v>
      </c>
      <c r="J32" s="14">
        <f>SUM(O32+T32)</f>
        <v>0</v>
      </c>
      <c r="L32" s="16">
        <v>0</v>
      </c>
      <c r="M32" s="17">
        <v>0</v>
      </c>
      <c r="N32" s="18">
        <f>SUM(L32:M32)</f>
        <v>0</v>
      </c>
      <c r="O32" s="19">
        <v>0</v>
      </c>
      <c r="P32" s="11"/>
      <c r="Q32" s="16"/>
      <c r="R32" s="17"/>
      <c r="S32" s="18">
        <f t="shared" si="7"/>
        <v>0</v>
      </c>
      <c r="T32" s="19"/>
    </row>
    <row r="33" spans="1:20" ht="18" customHeight="1">
      <c r="A33" s="20"/>
      <c r="B33" s="290"/>
      <c r="C33" s="289" t="s">
        <v>372</v>
      </c>
      <c r="D33" s="288"/>
      <c r="E33" s="248"/>
      <c r="F33" s="249"/>
      <c r="G33" s="249"/>
      <c r="H33" s="29"/>
      <c r="I33" s="249"/>
      <c r="J33" s="249"/>
      <c r="L33" s="12"/>
      <c r="M33" s="12"/>
      <c r="N33" s="30"/>
      <c r="O33" s="12"/>
      <c r="P33" s="11"/>
      <c r="Q33" s="12"/>
      <c r="R33" s="12"/>
      <c r="S33" s="30"/>
      <c r="T33" s="12"/>
    </row>
    <row r="34" spans="1:20" ht="13.5" customHeight="1">
      <c r="A34" s="12"/>
      <c r="B34" s="250"/>
      <c r="C34" s="5"/>
      <c r="D34" s="28"/>
      <c r="E34" s="10"/>
      <c r="F34" s="37"/>
      <c r="G34" s="37"/>
      <c r="H34" s="29"/>
      <c r="I34" s="37"/>
      <c r="J34" s="37"/>
      <c r="L34" s="12"/>
      <c r="M34" s="12"/>
      <c r="N34" s="30"/>
      <c r="O34" s="12"/>
      <c r="P34" s="20"/>
      <c r="Q34" s="12"/>
      <c r="R34" s="12"/>
      <c r="S34" s="30"/>
      <c r="T34" s="12"/>
    </row>
    <row r="35" spans="1:20" ht="13.5" customHeight="1">
      <c r="A35" t="s">
        <v>138</v>
      </c>
      <c r="B35" s="79"/>
      <c r="F35" s="37"/>
      <c r="G35" s="37"/>
      <c r="H35" s="29"/>
      <c r="I35" s="37"/>
      <c r="J35" s="37"/>
      <c r="L35" s="12"/>
      <c r="M35" s="12"/>
      <c r="N35" s="30"/>
      <c r="O35" s="12"/>
      <c r="P35" s="20"/>
      <c r="Q35" s="12"/>
      <c r="R35" s="12"/>
      <c r="S35" s="30"/>
      <c r="T35" s="12"/>
    </row>
    <row r="36" spans="4:5" ht="13.5" customHeight="1">
      <c r="D36" s="6"/>
      <c r="E36" s="7"/>
    </row>
    <row r="37" spans="1:5" ht="13.5" customHeight="1">
      <c r="A37" s="8" t="s">
        <v>139</v>
      </c>
      <c r="D37" s="6"/>
      <c r="E37" s="7"/>
    </row>
    <row r="38" ht="12.75">
      <c r="A38" s="9" t="s">
        <v>141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0">
      <selection activeCell="C21" sqref="C21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297" t="str">
        <f>'Sen A'!A1:J1</f>
        <v>Kreismeisterschaft 2013  -   T V  1 8 4 8   E r l a n g e n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5">
      <c r="A2" s="297" t="s">
        <v>137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tr">
        <f>'U23m'!A3</f>
        <v>09. / 10. März 2013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344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/>
      <c r="Q8"/>
      <c r="R8"/>
      <c r="S8"/>
      <c r="T8"/>
    </row>
    <row r="9" spans="1:20" s="35" customFormat="1" ht="15.75" customHeight="1">
      <c r="A9" s="301" t="s">
        <v>183</v>
      </c>
      <c r="B9" s="301"/>
      <c r="C9" s="301"/>
      <c r="D9" s="301"/>
      <c r="E9" s="301"/>
      <c r="F9" s="301"/>
      <c r="G9" s="301"/>
      <c r="H9" s="301"/>
      <c r="I9" s="301"/>
      <c r="J9" s="301"/>
      <c r="K9"/>
      <c r="L9"/>
      <c r="M9"/>
      <c r="N9"/>
      <c r="O9"/>
      <c r="P9"/>
      <c r="Q9"/>
      <c r="R9"/>
      <c r="S9"/>
      <c r="T9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11"/>
      <c r="Q11" s="298" t="s">
        <v>12</v>
      </c>
      <c r="R11" s="299"/>
      <c r="S11" s="299"/>
      <c r="T11" s="300"/>
    </row>
    <row r="12" spans="1:20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3"/>
      <c r="Q12" s="51" t="s">
        <v>13</v>
      </c>
      <c r="R12" s="52" t="s">
        <v>14</v>
      </c>
      <c r="S12" s="53" t="s">
        <v>15</v>
      </c>
      <c r="T12" s="54" t="s">
        <v>10</v>
      </c>
    </row>
    <row r="13" spans="1:20" ht="17.25" customHeight="1">
      <c r="A13" s="182">
        <v>1</v>
      </c>
      <c r="B13" s="267"/>
      <c r="C13" s="271" t="s">
        <v>194</v>
      </c>
      <c r="D13" s="268" t="s">
        <v>195</v>
      </c>
      <c r="E13" s="186" t="s">
        <v>79</v>
      </c>
      <c r="F13" s="124">
        <f aca="true" t="shared" si="0" ref="F13:F28">SUM(N13)</f>
        <v>420</v>
      </c>
      <c r="G13" s="124">
        <f aca="true" t="shared" si="1" ref="G13:G28">SUM(S13)</f>
        <v>427</v>
      </c>
      <c r="H13" s="125">
        <f aca="true" t="shared" si="2" ref="H13:H27">SUM(F13:G13)</f>
        <v>847</v>
      </c>
      <c r="I13" s="124">
        <f aca="true" t="shared" si="3" ref="I13:I28">SUM(M13+R13)</f>
        <v>234</v>
      </c>
      <c r="J13" s="124">
        <f aca="true" t="shared" si="4" ref="J13:J28">SUM(O13+T13)</f>
        <v>15</v>
      </c>
      <c r="L13" s="16">
        <v>291</v>
      </c>
      <c r="M13" s="17">
        <v>129</v>
      </c>
      <c r="N13" s="18">
        <f aca="true" t="shared" si="5" ref="N13:N28">SUM(L13:M13)</f>
        <v>420</v>
      </c>
      <c r="O13" s="19">
        <v>6</v>
      </c>
      <c r="P13" s="11"/>
      <c r="Q13" s="16">
        <v>322</v>
      </c>
      <c r="R13" s="17">
        <v>105</v>
      </c>
      <c r="S13" s="18">
        <f aca="true" t="shared" si="6" ref="S13:S28">SUM(Q13:R13)</f>
        <v>427</v>
      </c>
      <c r="T13" s="19">
        <v>9</v>
      </c>
    </row>
    <row r="14" spans="1:20" ht="18" customHeight="1">
      <c r="A14" s="272">
        <v>2</v>
      </c>
      <c r="B14" s="269"/>
      <c r="C14" s="221" t="s">
        <v>198</v>
      </c>
      <c r="D14" s="201" t="s">
        <v>199</v>
      </c>
      <c r="E14" s="185" t="s">
        <v>80</v>
      </c>
      <c r="F14" s="124">
        <f t="shared" si="0"/>
        <v>425</v>
      </c>
      <c r="G14" s="124">
        <f t="shared" si="1"/>
        <v>415</v>
      </c>
      <c r="H14" s="125">
        <f t="shared" si="2"/>
        <v>840</v>
      </c>
      <c r="I14" s="124">
        <f t="shared" si="3"/>
        <v>273</v>
      </c>
      <c r="J14" s="124">
        <f t="shared" si="4"/>
        <v>13</v>
      </c>
      <c r="L14" s="16">
        <v>275</v>
      </c>
      <c r="M14" s="17">
        <v>150</v>
      </c>
      <c r="N14" s="18">
        <f t="shared" si="5"/>
        <v>425</v>
      </c>
      <c r="O14" s="19">
        <v>6</v>
      </c>
      <c r="P14" s="11"/>
      <c r="Q14" s="16">
        <v>292</v>
      </c>
      <c r="R14" s="17">
        <v>123</v>
      </c>
      <c r="S14" s="18">
        <f t="shared" si="6"/>
        <v>415</v>
      </c>
      <c r="T14" s="19">
        <v>7</v>
      </c>
    </row>
    <row r="15" spans="1:20" ht="18" customHeight="1">
      <c r="A15" s="273">
        <v>3</v>
      </c>
      <c r="B15" s="270"/>
      <c r="C15" s="272" t="s">
        <v>329</v>
      </c>
      <c r="D15" s="268" t="s">
        <v>330</v>
      </c>
      <c r="E15" s="186" t="s">
        <v>18</v>
      </c>
      <c r="F15" s="194">
        <f t="shared" si="0"/>
        <v>436</v>
      </c>
      <c r="G15" s="194">
        <f t="shared" si="1"/>
        <v>403</v>
      </c>
      <c r="H15" s="209">
        <f t="shared" si="2"/>
        <v>839</v>
      </c>
      <c r="I15" s="194">
        <f t="shared" si="3"/>
        <v>259</v>
      </c>
      <c r="J15" s="194">
        <f t="shared" si="4"/>
        <v>20</v>
      </c>
      <c r="L15" s="16">
        <v>293</v>
      </c>
      <c r="M15" s="17">
        <v>143</v>
      </c>
      <c r="N15" s="18">
        <f t="shared" si="5"/>
        <v>436</v>
      </c>
      <c r="O15" s="19">
        <v>8</v>
      </c>
      <c r="P15" s="11"/>
      <c r="Q15" s="16">
        <v>287</v>
      </c>
      <c r="R15" s="17">
        <v>116</v>
      </c>
      <c r="S15" s="18">
        <f t="shared" si="6"/>
        <v>403</v>
      </c>
      <c r="T15" s="19">
        <v>12</v>
      </c>
    </row>
    <row r="16" spans="1:20" ht="18" customHeight="1">
      <c r="A16" s="184">
        <v>4</v>
      </c>
      <c r="B16" s="260"/>
      <c r="C16" s="119" t="s">
        <v>196</v>
      </c>
      <c r="D16" s="33" t="s">
        <v>197</v>
      </c>
      <c r="E16" s="246" t="s">
        <v>78</v>
      </c>
      <c r="F16" s="14">
        <f t="shared" si="0"/>
        <v>431</v>
      </c>
      <c r="G16" s="14">
        <f t="shared" si="1"/>
        <v>402</v>
      </c>
      <c r="H16" s="15">
        <f t="shared" si="2"/>
        <v>833</v>
      </c>
      <c r="I16" s="14">
        <f t="shared" si="3"/>
        <v>250</v>
      </c>
      <c r="J16" s="14">
        <f t="shared" si="4"/>
        <v>10</v>
      </c>
      <c r="L16" s="16">
        <v>297</v>
      </c>
      <c r="M16" s="17">
        <v>134</v>
      </c>
      <c r="N16" s="18">
        <f t="shared" si="5"/>
        <v>431</v>
      </c>
      <c r="O16" s="19">
        <v>4</v>
      </c>
      <c r="P16" s="11"/>
      <c r="Q16" s="16">
        <v>286</v>
      </c>
      <c r="R16" s="17">
        <v>116</v>
      </c>
      <c r="S16" s="18">
        <f t="shared" si="6"/>
        <v>402</v>
      </c>
      <c r="T16" s="19">
        <v>6</v>
      </c>
    </row>
    <row r="17" spans="1:20" ht="18" customHeight="1" thickBot="1">
      <c r="A17" s="120">
        <v>5</v>
      </c>
      <c r="B17" s="261"/>
      <c r="C17" s="198" t="s">
        <v>351</v>
      </c>
      <c r="D17" s="262" t="s">
        <v>352</v>
      </c>
      <c r="E17" s="274" t="s">
        <v>143</v>
      </c>
      <c r="F17" s="31">
        <f t="shared" si="0"/>
        <v>425</v>
      </c>
      <c r="G17" s="31">
        <f t="shared" si="1"/>
        <v>407</v>
      </c>
      <c r="H17" s="32">
        <f t="shared" si="2"/>
        <v>832</v>
      </c>
      <c r="I17" s="31">
        <f t="shared" si="3"/>
        <v>259</v>
      </c>
      <c r="J17" s="31">
        <f t="shared" si="4"/>
        <v>6</v>
      </c>
      <c r="L17" s="16">
        <v>293</v>
      </c>
      <c r="M17" s="17">
        <v>132</v>
      </c>
      <c r="N17" s="18">
        <f t="shared" si="5"/>
        <v>425</v>
      </c>
      <c r="O17" s="19">
        <v>2</v>
      </c>
      <c r="P17" s="11"/>
      <c r="Q17" s="16">
        <v>280</v>
      </c>
      <c r="R17" s="17">
        <v>127</v>
      </c>
      <c r="S17" s="18">
        <f t="shared" si="6"/>
        <v>407</v>
      </c>
      <c r="T17" s="19">
        <v>4</v>
      </c>
    </row>
    <row r="18" spans="1:20" ht="18" customHeight="1">
      <c r="A18" s="24">
        <v>6</v>
      </c>
      <c r="B18" s="89"/>
      <c r="C18" s="263" t="s">
        <v>200</v>
      </c>
      <c r="D18" s="88" t="s">
        <v>201</v>
      </c>
      <c r="E18" s="87" t="s">
        <v>89</v>
      </c>
      <c r="F18" s="21">
        <f t="shared" si="0"/>
        <v>393</v>
      </c>
      <c r="G18" s="21">
        <f t="shared" si="1"/>
        <v>419</v>
      </c>
      <c r="H18" s="22">
        <f t="shared" si="2"/>
        <v>812</v>
      </c>
      <c r="I18" s="21">
        <f t="shared" si="3"/>
        <v>232</v>
      </c>
      <c r="J18" s="21">
        <f t="shared" si="4"/>
        <v>15</v>
      </c>
      <c r="L18" s="16">
        <v>298</v>
      </c>
      <c r="M18" s="17">
        <v>95</v>
      </c>
      <c r="N18" s="18">
        <f t="shared" si="5"/>
        <v>393</v>
      </c>
      <c r="O18" s="19">
        <v>10</v>
      </c>
      <c r="P18" s="11"/>
      <c r="Q18" s="16">
        <v>282</v>
      </c>
      <c r="R18" s="17">
        <v>137</v>
      </c>
      <c r="S18" s="18">
        <f t="shared" si="6"/>
        <v>419</v>
      </c>
      <c r="T18" s="19">
        <v>5</v>
      </c>
    </row>
    <row r="19" spans="1:20" ht="18" customHeight="1">
      <c r="A19" s="23">
        <v>7</v>
      </c>
      <c r="B19" s="258"/>
      <c r="C19" s="24" t="s">
        <v>192</v>
      </c>
      <c r="D19" s="64" t="s">
        <v>193</v>
      </c>
      <c r="E19" s="69" t="s">
        <v>34</v>
      </c>
      <c r="F19" s="21">
        <f t="shared" si="0"/>
        <v>415</v>
      </c>
      <c r="G19" s="21">
        <f t="shared" si="1"/>
        <v>395</v>
      </c>
      <c r="H19" s="22">
        <f t="shared" si="2"/>
        <v>810</v>
      </c>
      <c r="I19" s="21">
        <f t="shared" si="3"/>
        <v>230</v>
      </c>
      <c r="J19" s="21">
        <f t="shared" si="4"/>
        <v>19</v>
      </c>
      <c r="L19" s="16">
        <v>292</v>
      </c>
      <c r="M19" s="17">
        <v>123</v>
      </c>
      <c r="N19" s="18">
        <f t="shared" si="5"/>
        <v>415</v>
      </c>
      <c r="O19" s="19">
        <v>12</v>
      </c>
      <c r="P19" s="11"/>
      <c r="Q19" s="16">
        <v>288</v>
      </c>
      <c r="R19" s="17">
        <v>107</v>
      </c>
      <c r="S19" s="18">
        <f t="shared" si="6"/>
        <v>395</v>
      </c>
      <c r="T19" s="19">
        <v>7</v>
      </c>
    </row>
    <row r="20" spans="1:20" ht="18" customHeight="1">
      <c r="A20" s="24">
        <v>8</v>
      </c>
      <c r="B20" s="98"/>
      <c r="C20" s="34" t="s">
        <v>186</v>
      </c>
      <c r="D20" s="33" t="s">
        <v>187</v>
      </c>
      <c r="E20" s="69" t="s">
        <v>32</v>
      </c>
      <c r="F20" s="14">
        <f t="shared" si="0"/>
        <v>413</v>
      </c>
      <c r="G20" s="14">
        <f t="shared" si="1"/>
        <v>368</v>
      </c>
      <c r="H20" s="15">
        <f t="shared" si="2"/>
        <v>781</v>
      </c>
      <c r="I20" s="14">
        <f t="shared" si="3"/>
        <v>232</v>
      </c>
      <c r="J20" s="14">
        <f t="shared" si="4"/>
        <v>18</v>
      </c>
      <c r="L20" s="16">
        <v>287</v>
      </c>
      <c r="M20" s="17">
        <v>126</v>
      </c>
      <c r="N20" s="18">
        <f t="shared" si="5"/>
        <v>413</v>
      </c>
      <c r="O20" s="19">
        <v>8</v>
      </c>
      <c r="P20" s="11"/>
      <c r="Q20" s="16">
        <v>262</v>
      </c>
      <c r="R20" s="17">
        <v>106</v>
      </c>
      <c r="S20" s="18">
        <f t="shared" si="6"/>
        <v>368</v>
      </c>
      <c r="T20" s="19">
        <v>10</v>
      </c>
    </row>
    <row r="21" spans="1:20" ht="15.75" customHeight="1">
      <c r="A21" s="25">
        <v>9</v>
      </c>
      <c r="B21" s="259"/>
      <c r="C21" s="34" t="s">
        <v>188</v>
      </c>
      <c r="D21" s="33" t="s">
        <v>189</v>
      </c>
      <c r="E21" s="69" t="s">
        <v>36</v>
      </c>
      <c r="F21" s="14">
        <f t="shared" si="0"/>
        <v>397</v>
      </c>
      <c r="G21" s="14">
        <f t="shared" si="1"/>
        <v>369</v>
      </c>
      <c r="H21" s="15">
        <f t="shared" si="2"/>
        <v>766</v>
      </c>
      <c r="I21" s="14">
        <f t="shared" si="3"/>
        <v>241</v>
      </c>
      <c r="J21" s="14">
        <f t="shared" si="4"/>
        <v>17</v>
      </c>
      <c r="L21" s="16">
        <v>271</v>
      </c>
      <c r="M21" s="17">
        <v>126</v>
      </c>
      <c r="N21" s="18">
        <f t="shared" si="5"/>
        <v>397</v>
      </c>
      <c r="O21" s="19">
        <v>8</v>
      </c>
      <c r="P21" s="11"/>
      <c r="Q21" s="16">
        <v>254</v>
      </c>
      <c r="R21" s="17">
        <v>115</v>
      </c>
      <c r="S21" s="18">
        <f t="shared" si="6"/>
        <v>369</v>
      </c>
      <c r="T21" s="19">
        <v>9</v>
      </c>
    </row>
    <row r="22" spans="1:20" ht="18" customHeight="1">
      <c r="A22" s="24">
        <v>10</v>
      </c>
      <c r="B22" s="81"/>
      <c r="C22" s="34" t="s">
        <v>203</v>
      </c>
      <c r="D22" s="65" t="s">
        <v>204</v>
      </c>
      <c r="E22" s="69" t="s">
        <v>87</v>
      </c>
      <c r="F22" s="14">
        <f t="shared" si="0"/>
        <v>400</v>
      </c>
      <c r="G22" s="14">
        <f t="shared" si="1"/>
        <v>366</v>
      </c>
      <c r="H22" s="15">
        <f t="shared" si="2"/>
        <v>766</v>
      </c>
      <c r="I22" s="14">
        <f t="shared" si="3"/>
        <v>207</v>
      </c>
      <c r="J22" s="14">
        <f t="shared" si="4"/>
        <v>20</v>
      </c>
      <c r="L22" s="16">
        <v>278</v>
      </c>
      <c r="M22" s="17">
        <v>122</v>
      </c>
      <c r="N22" s="18">
        <f t="shared" si="5"/>
        <v>400</v>
      </c>
      <c r="O22" s="19">
        <v>6</v>
      </c>
      <c r="P22" s="11"/>
      <c r="Q22" s="16">
        <v>281</v>
      </c>
      <c r="R22" s="17">
        <v>85</v>
      </c>
      <c r="S22" s="18">
        <f t="shared" si="6"/>
        <v>366</v>
      </c>
      <c r="T22" s="19">
        <v>14</v>
      </c>
    </row>
    <row r="23" spans="1:20" ht="20.25" customHeight="1">
      <c r="A23" s="23">
        <v>11</v>
      </c>
      <c r="B23" s="264"/>
      <c r="C23" s="34" t="s">
        <v>190</v>
      </c>
      <c r="D23" s="33" t="s">
        <v>191</v>
      </c>
      <c r="E23" s="69" t="s">
        <v>35</v>
      </c>
      <c r="F23" s="21">
        <f t="shared" si="0"/>
        <v>404</v>
      </c>
      <c r="G23" s="21">
        <f t="shared" si="1"/>
        <v>0</v>
      </c>
      <c r="H23" s="22">
        <f t="shared" si="2"/>
        <v>404</v>
      </c>
      <c r="I23" s="21">
        <f t="shared" si="3"/>
        <v>117</v>
      </c>
      <c r="J23" s="21">
        <f t="shared" si="4"/>
        <v>7</v>
      </c>
      <c r="L23" s="16">
        <v>287</v>
      </c>
      <c r="M23" s="17">
        <v>117</v>
      </c>
      <c r="N23" s="18">
        <f t="shared" si="5"/>
        <v>404</v>
      </c>
      <c r="O23" s="19">
        <v>7</v>
      </c>
      <c r="P23" s="11"/>
      <c r="Q23" s="16"/>
      <c r="R23" s="17"/>
      <c r="S23" s="18">
        <f t="shared" si="6"/>
        <v>0</v>
      </c>
      <c r="T23" s="19"/>
    </row>
    <row r="24" spans="1:20" ht="18" customHeight="1">
      <c r="A24" s="24">
        <v>12</v>
      </c>
      <c r="B24" s="98"/>
      <c r="C24" s="265" t="s">
        <v>294</v>
      </c>
      <c r="D24" s="266" t="s">
        <v>295</v>
      </c>
      <c r="E24" s="55" t="s">
        <v>17</v>
      </c>
      <c r="F24" s="14">
        <f t="shared" si="0"/>
        <v>369</v>
      </c>
      <c r="G24" s="14">
        <f t="shared" si="1"/>
        <v>0</v>
      </c>
      <c r="H24" s="15">
        <f t="shared" si="2"/>
        <v>369</v>
      </c>
      <c r="I24" s="14">
        <f t="shared" si="3"/>
        <v>98</v>
      </c>
      <c r="J24" s="14">
        <f t="shared" si="4"/>
        <v>14</v>
      </c>
      <c r="L24" s="16">
        <v>271</v>
      </c>
      <c r="M24" s="17">
        <v>98</v>
      </c>
      <c r="N24" s="18">
        <f t="shared" si="5"/>
        <v>369</v>
      </c>
      <c r="O24" s="19">
        <v>14</v>
      </c>
      <c r="P24" s="11"/>
      <c r="Q24" s="16"/>
      <c r="R24" s="17"/>
      <c r="S24" s="18">
        <f t="shared" si="6"/>
        <v>0</v>
      </c>
      <c r="T24" s="19"/>
    </row>
    <row r="25" spans="1:20" ht="20.25" customHeight="1">
      <c r="A25" s="23">
        <v>13</v>
      </c>
      <c r="B25" s="77"/>
      <c r="C25" s="24" t="s">
        <v>202</v>
      </c>
      <c r="D25" s="162" t="s">
        <v>205</v>
      </c>
      <c r="E25" s="69" t="s">
        <v>88</v>
      </c>
      <c r="F25" s="21">
        <f t="shared" si="0"/>
        <v>362</v>
      </c>
      <c r="G25" s="21">
        <f t="shared" si="1"/>
        <v>0</v>
      </c>
      <c r="H25" s="22">
        <f t="shared" si="2"/>
        <v>362</v>
      </c>
      <c r="I25" s="21">
        <f t="shared" si="3"/>
        <v>106</v>
      </c>
      <c r="J25" s="21">
        <f t="shared" si="4"/>
        <v>14</v>
      </c>
      <c r="L25" s="16">
        <v>256</v>
      </c>
      <c r="M25" s="17">
        <v>106</v>
      </c>
      <c r="N25" s="18">
        <f t="shared" si="5"/>
        <v>362</v>
      </c>
      <c r="O25" s="19">
        <v>14</v>
      </c>
      <c r="P25" s="11"/>
      <c r="Q25" s="16"/>
      <c r="R25" s="17"/>
      <c r="S25" s="18">
        <f t="shared" si="6"/>
        <v>0</v>
      </c>
      <c r="T25" s="19"/>
    </row>
    <row r="26" spans="1:20" ht="20.25" customHeight="1">
      <c r="A26" s="24"/>
      <c r="B26" s="98"/>
      <c r="C26" s="84" t="s">
        <v>277</v>
      </c>
      <c r="D26" s="33" t="s">
        <v>278</v>
      </c>
      <c r="E26" s="69" t="s">
        <v>272</v>
      </c>
      <c r="F26" s="14">
        <f t="shared" si="0"/>
        <v>0</v>
      </c>
      <c r="G26" s="14">
        <f t="shared" si="1"/>
        <v>0</v>
      </c>
      <c r="H26" s="15">
        <f t="shared" si="2"/>
        <v>0</v>
      </c>
      <c r="I26" s="14">
        <f t="shared" si="3"/>
        <v>0</v>
      </c>
      <c r="J26" s="14">
        <f t="shared" si="4"/>
        <v>0</v>
      </c>
      <c r="L26" s="16"/>
      <c r="M26" s="17"/>
      <c r="N26" s="18">
        <f t="shared" si="5"/>
        <v>0</v>
      </c>
      <c r="O26" s="19"/>
      <c r="P26" s="11"/>
      <c r="Q26" s="16"/>
      <c r="R26" s="17"/>
      <c r="S26" s="18">
        <f t="shared" si="6"/>
        <v>0</v>
      </c>
      <c r="T26" s="19"/>
    </row>
    <row r="27" spans="1:20" ht="20.25" customHeight="1">
      <c r="A27" s="25"/>
      <c r="B27" s="256"/>
      <c r="C27" s="34" t="s">
        <v>184</v>
      </c>
      <c r="D27" s="33" t="s">
        <v>185</v>
      </c>
      <c r="E27" s="69" t="s">
        <v>33</v>
      </c>
      <c r="F27" s="191" t="s">
        <v>368</v>
      </c>
      <c r="G27" s="14">
        <f t="shared" si="1"/>
        <v>0</v>
      </c>
      <c r="H27" s="15">
        <f t="shared" si="2"/>
        <v>0</v>
      </c>
      <c r="I27" s="14">
        <f t="shared" si="3"/>
        <v>0</v>
      </c>
      <c r="J27" s="14">
        <f t="shared" si="4"/>
        <v>0</v>
      </c>
      <c r="L27" s="16"/>
      <c r="M27" s="17"/>
      <c r="N27" s="18">
        <f t="shared" si="5"/>
        <v>0</v>
      </c>
      <c r="O27" s="19"/>
      <c r="P27" s="11"/>
      <c r="Q27" s="16"/>
      <c r="R27" s="17"/>
      <c r="S27" s="18">
        <f t="shared" si="6"/>
        <v>0</v>
      </c>
      <c r="T27" s="19"/>
    </row>
    <row r="28" spans="1:20" ht="20.25" customHeight="1">
      <c r="A28" s="24"/>
      <c r="B28" s="81"/>
      <c r="C28" s="34" t="s">
        <v>367</v>
      </c>
      <c r="D28" s="33"/>
      <c r="E28" s="69"/>
      <c r="F28" s="14">
        <f t="shared" si="0"/>
        <v>0</v>
      </c>
      <c r="G28" s="14">
        <f t="shared" si="1"/>
        <v>0</v>
      </c>
      <c r="H28" s="15"/>
      <c r="I28" s="14">
        <f t="shared" si="3"/>
        <v>0</v>
      </c>
      <c r="J28" s="14">
        <f t="shared" si="4"/>
        <v>0</v>
      </c>
      <c r="L28" s="16">
        <v>0</v>
      </c>
      <c r="M28" s="17">
        <v>0</v>
      </c>
      <c r="N28" s="18">
        <f t="shared" si="5"/>
        <v>0</v>
      </c>
      <c r="O28" s="19">
        <v>0</v>
      </c>
      <c r="P28" s="11"/>
      <c r="Q28" s="16"/>
      <c r="R28" s="17"/>
      <c r="S28" s="18">
        <f t="shared" si="6"/>
        <v>0</v>
      </c>
      <c r="T28" s="19"/>
    </row>
    <row r="29" spans="1:20" ht="12.75">
      <c r="A29" s="12"/>
      <c r="B29" s="82"/>
      <c r="C29" s="5"/>
      <c r="D29" s="28"/>
      <c r="E29" s="10"/>
      <c r="F29" s="37"/>
      <c r="G29" s="37"/>
      <c r="H29" s="29"/>
      <c r="I29" s="37"/>
      <c r="J29" s="37"/>
      <c r="L29" s="12"/>
      <c r="M29" s="12"/>
      <c r="N29" s="30"/>
      <c r="O29" s="12"/>
      <c r="P29" s="20"/>
      <c r="Q29" s="12"/>
      <c r="R29" s="12"/>
      <c r="S29" s="30"/>
      <c r="T29" s="12"/>
    </row>
    <row r="30" spans="1:20" ht="12.75">
      <c r="A30" t="s">
        <v>138</v>
      </c>
      <c r="B30" s="79"/>
      <c r="F30" s="37"/>
      <c r="G30" s="37"/>
      <c r="H30" s="29"/>
      <c r="I30" s="37"/>
      <c r="J30" s="37"/>
      <c r="L30" s="12"/>
      <c r="M30" s="12"/>
      <c r="N30" s="30"/>
      <c r="O30" s="12"/>
      <c r="P30" s="20"/>
      <c r="Q30" s="12"/>
      <c r="R30" s="12"/>
      <c r="S30" s="30"/>
      <c r="T30" s="12"/>
    </row>
    <row r="31" spans="4:5" ht="12.75">
      <c r="D31" s="6"/>
      <c r="E31" s="7"/>
    </row>
    <row r="32" spans="1:5" ht="12.75">
      <c r="A32" s="8" t="s">
        <v>140</v>
      </c>
      <c r="D32" s="6"/>
      <c r="E32" s="7"/>
    </row>
    <row r="33" ht="12.75">
      <c r="A33" s="9" t="s">
        <v>141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W13" sqref="W13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02" t="s">
        <v>147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>
      <c r="A2" s="297" t="s">
        <v>144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">
        <v>124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121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/>
      <c r="Q8"/>
      <c r="R8"/>
      <c r="S8"/>
      <c r="T8"/>
    </row>
    <row r="9" spans="1:20" s="35" customFormat="1" ht="15.75" customHeight="1">
      <c r="A9" s="301" t="s">
        <v>182</v>
      </c>
      <c r="B9" s="301"/>
      <c r="C9" s="301"/>
      <c r="D9" s="301"/>
      <c r="E9" s="301"/>
      <c r="F9" s="301"/>
      <c r="G9" s="301"/>
      <c r="H9" s="301"/>
      <c r="I9" s="301"/>
      <c r="J9" s="301"/>
      <c r="K9"/>
      <c r="L9"/>
      <c r="M9"/>
      <c r="N9"/>
      <c r="O9"/>
      <c r="P9"/>
      <c r="Q9"/>
      <c r="R9"/>
      <c r="S9"/>
      <c r="T9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11"/>
      <c r="Q11" s="298" t="s">
        <v>12</v>
      </c>
      <c r="R11" s="299"/>
      <c r="S11" s="299"/>
      <c r="T11" s="300"/>
    </row>
    <row r="12" spans="1:20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3"/>
      <c r="Q12" s="51" t="s">
        <v>13</v>
      </c>
      <c r="R12" s="52" t="s">
        <v>14</v>
      </c>
      <c r="S12" s="53" t="s">
        <v>15</v>
      </c>
      <c r="T12" s="54" t="s">
        <v>10</v>
      </c>
    </row>
    <row r="13" spans="1:20" ht="18" customHeight="1">
      <c r="A13" s="25"/>
      <c r="B13" s="91"/>
      <c r="C13" s="119" t="s">
        <v>332</v>
      </c>
      <c r="D13" s="33" t="s">
        <v>115</v>
      </c>
      <c r="E13" s="69" t="s">
        <v>36</v>
      </c>
      <c r="F13" s="14">
        <f>SUM(N13)</f>
        <v>0</v>
      </c>
      <c r="G13" s="14">
        <f>SUM(S13)</f>
        <v>0</v>
      </c>
      <c r="H13" s="15">
        <f>SUM(F13:G13)</f>
        <v>0</v>
      </c>
      <c r="I13" s="14">
        <f>SUM(M13+R13)</f>
        <v>0</v>
      </c>
      <c r="J13" s="14">
        <f>SUM(O13+T13)</f>
        <v>0</v>
      </c>
      <c r="L13" s="16"/>
      <c r="M13" s="17"/>
      <c r="N13" s="18">
        <f>SUM(L13:M13)</f>
        <v>0</v>
      </c>
      <c r="O13" s="19"/>
      <c r="P13" s="11"/>
      <c r="Q13" s="16"/>
      <c r="R13" s="17"/>
      <c r="S13" s="18">
        <f>SUM(Q13:R13)</f>
        <v>0</v>
      </c>
      <c r="T13" s="19"/>
    </row>
    <row r="14" spans="1:20" ht="18" customHeight="1" thickBot="1">
      <c r="A14" s="70"/>
      <c r="B14" s="93"/>
      <c r="C14" s="120" t="s">
        <v>331</v>
      </c>
      <c r="D14" s="66" t="s">
        <v>114</v>
      </c>
      <c r="E14" s="71" t="s">
        <v>35</v>
      </c>
      <c r="F14" s="31">
        <f>SUM(N14)</f>
        <v>0</v>
      </c>
      <c r="G14" s="31">
        <f>SUM(S14)</f>
        <v>0</v>
      </c>
      <c r="H14" s="32">
        <f>SUM(F14:G14)</f>
        <v>0</v>
      </c>
      <c r="I14" s="31">
        <f>SUM(M14+R14)</f>
        <v>0</v>
      </c>
      <c r="J14" s="31">
        <f>SUM(O14+T14)</f>
        <v>0</v>
      </c>
      <c r="L14" s="16"/>
      <c r="M14" s="17"/>
      <c r="N14" s="18">
        <f>SUM(L14:M14)</f>
        <v>0</v>
      </c>
      <c r="O14" s="19"/>
      <c r="P14" s="11"/>
      <c r="Q14" s="16"/>
      <c r="R14" s="17"/>
      <c r="S14" s="18">
        <f>SUM(Q14:R14)</f>
        <v>0</v>
      </c>
      <c r="T14" s="19"/>
    </row>
    <row r="15" spans="1:20" ht="18" customHeight="1">
      <c r="A15" s="23"/>
      <c r="B15" s="72"/>
      <c r="C15" s="34"/>
      <c r="D15" s="64"/>
      <c r="E15" s="55"/>
      <c r="F15" s="14">
        <f>SUM(N15)</f>
        <v>0</v>
      </c>
      <c r="G15" s="14">
        <f>SUM(S15)</f>
        <v>0</v>
      </c>
      <c r="H15" s="15">
        <f>SUM(F15:G15)</f>
        <v>0</v>
      </c>
      <c r="I15" s="14">
        <f>SUM(M15+R15)</f>
        <v>0</v>
      </c>
      <c r="J15" s="14">
        <f>SUM(O15+T15)</f>
        <v>0</v>
      </c>
      <c r="L15" s="16"/>
      <c r="M15" s="17"/>
      <c r="N15" s="18">
        <f>SUM(L15:M15)</f>
        <v>0</v>
      </c>
      <c r="O15" s="19"/>
      <c r="P15" s="11"/>
      <c r="Q15" s="16"/>
      <c r="R15" s="17"/>
      <c r="S15" s="18">
        <f>SUM(Q15:R15)</f>
        <v>0</v>
      </c>
      <c r="T15" s="19"/>
    </row>
    <row r="16" spans="1:20" ht="18" customHeight="1">
      <c r="A16" s="24"/>
      <c r="B16" s="92"/>
      <c r="C16" s="34"/>
      <c r="D16" s="65"/>
      <c r="E16" s="69"/>
      <c r="F16" s="14">
        <f>SUM(N16)</f>
        <v>0</v>
      </c>
      <c r="G16" s="14">
        <f>SUM(S16)</f>
        <v>0</v>
      </c>
      <c r="H16" s="15">
        <f>SUM(F16:G16)</f>
        <v>0</v>
      </c>
      <c r="I16" s="14">
        <f>SUM(M16+R16)</f>
        <v>0</v>
      </c>
      <c r="J16" s="14">
        <f>SUM(O16+T16)</f>
        <v>0</v>
      </c>
      <c r="L16" s="16"/>
      <c r="M16" s="17"/>
      <c r="N16" s="18">
        <f>SUM(L16:M16)</f>
        <v>0</v>
      </c>
      <c r="O16" s="19"/>
      <c r="P16" s="11"/>
      <c r="Q16" s="16"/>
      <c r="R16" s="17"/>
      <c r="S16" s="18">
        <f>SUM(Q16:R16)</f>
        <v>0</v>
      </c>
      <c r="T16" s="19"/>
    </row>
    <row r="17" spans="1:20" ht="13.5" customHeight="1">
      <c r="A17" s="12"/>
      <c r="B17" s="36"/>
      <c r="C17" s="5"/>
      <c r="D17" s="28"/>
      <c r="E17" s="10"/>
      <c r="F17" s="37"/>
      <c r="G17" s="37"/>
      <c r="H17" s="29"/>
      <c r="I17" s="37"/>
      <c r="J17" s="37"/>
      <c r="L17" s="12"/>
      <c r="M17" s="12"/>
      <c r="N17" s="30"/>
      <c r="O17" s="12"/>
      <c r="P17" s="20"/>
      <c r="Q17" s="12"/>
      <c r="R17" s="12"/>
      <c r="S17" s="30"/>
      <c r="T17" s="12"/>
    </row>
    <row r="18" spans="2:20" ht="13.5" customHeight="1">
      <c r="B18" s="36"/>
      <c r="C18" s="63" t="s">
        <v>333</v>
      </c>
      <c r="F18" s="37"/>
      <c r="G18" s="37"/>
      <c r="H18" s="29"/>
      <c r="I18" s="37"/>
      <c r="J18" s="37"/>
      <c r="L18" s="12"/>
      <c r="M18" s="12"/>
      <c r="N18" s="30"/>
      <c r="O18" s="12"/>
      <c r="P18" s="20"/>
      <c r="Q18" s="12"/>
      <c r="R18" s="12"/>
      <c r="S18" s="30"/>
      <c r="T18" s="12"/>
    </row>
    <row r="19" spans="4:5" ht="13.5" customHeight="1">
      <c r="D19" s="6"/>
      <c r="E19" s="7"/>
    </row>
    <row r="20" spans="1:5" ht="13.5" customHeight="1">
      <c r="A20" s="8" t="s">
        <v>145</v>
      </c>
      <c r="D20" s="6"/>
      <c r="E20" s="7"/>
    </row>
    <row r="21" ht="12.75">
      <c r="A21" s="9" t="s">
        <v>146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V27" sqref="V27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297" t="s">
        <v>149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5">
      <c r="A2" s="297" t="s">
        <v>148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7" t="str">
        <f>'U23m'!A3</f>
        <v>09. / 10. März 2013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150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5" customFormat="1" ht="15.75" customHeight="1">
      <c r="A8" s="67"/>
      <c r="B8" s="67"/>
      <c r="C8" s="67"/>
      <c r="D8" s="67"/>
      <c r="E8" s="4"/>
      <c r="F8" s="67"/>
      <c r="G8" s="67"/>
      <c r="H8" s="67"/>
      <c r="I8" s="67"/>
      <c r="J8"/>
      <c r="K8"/>
      <c r="L8"/>
      <c r="M8"/>
      <c r="N8"/>
      <c r="O8"/>
      <c r="P8"/>
      <c r="Q8"/>
      <c r="R8"/>
      <c r="S8"/>
      <c r="T8"/>
    </row>
    <row r="9" spans="1:20" s="35" customFormat="1" ht="15.75" customHeight="1">
      <c r="A9" s="301" t="s">
        <v>181</v>
      </c>
      <c r="B9" s="301"/>
      <c r="C9" s="301"/>
      <c r="D9" s="301"/>
      <c r="E9" s="301"/>
      <c r="F9" s="301"/>
      <c r="G9" s="301"/>
      <c r="H9" s="301"/>
      <c r="I9" s="301"/>
      <c r="J9" s="301"/>
      <c r="K9"/>
      <c r="L9"/>
      <c r="M9"/>
      <c r="N9"/>
      <c r="O9"/>
      <c r="P9"/>
      <c r="Q9"/>
      <c r="R9"/>
      <c r="S9"/>
      <c r="T9"/>
    </row>
    <row r="10" spans="1:9" ht="15">
      <c r="A10" s="67"/>
      <c r="B10" s="67"/>
      <c r="C10" s="67"/>
      <c r="D10" s="67"/>
      <c r="E10" s="4"/>
      <c r="F10" s="67"/>
      <c r="G10" s="67"/>
      <c r="H10" s="67"/>
      <c r="I10" s="67"/>
    </row>
    <row r="11" spans="1:20" ht="12.75">
      <c r="A11" s="38"/>
      <c r="B11" s="38"/>
      <c r="C11" s="39"/>
      <c r="D11" s="40"/>
      <c r="E11" s="41" t="s">
        <v>0</v>
      </c>
      <c r="F11" s="39"/>
      <c r="G11" s="38"/>
      <c r="H11" s="39"/>
      <c r="I11" s="38"/>
      <c r="J11" s="42"/>
      <c r="L11" s="298" t="s">
        <v>11</v>
      </c>
      <c r="M11" s="299"/>
      <c r="N11" s="299"/>
      <c r="O11" s="300"/>
      <c r="P11" s="11"/>
      <c r="Q11" s="298" t="s">
        <v>12</v>
      </c>
      <c r="R11" s="299"/>
      <c r="S11" s="299"/>
      <c r="T11" s="300"/>
    </row>
    <row r="12" spans="1:20" ht="12.75" customHeight="1">
      <c r="A12" s="43" t="s">
        <v>1</v>
      </c>
      <c r="B12" s="44" t="s">
        <v>2</v>
      </c>
      <c r="C12" s="45" t="s">
        <v>3</v>
      </c>
      <c r="D12" s="46" t="s">
        <v>4</v>
      </c>
      <c r="E12" s="47" t="s">
        <v>5</v>
      </c>
      <c r="F12" s="48" t="s">
        <v>6</v>
      </c>
      <c r="G12" s="49" t="s">
        <v>7</v>
      </c>
      <c r="H12" s="50" t="s">
        <v>8</v>
      </c>
      <c r="I12" s="43" t="s">
        <v>9</v>
      </c>
      <c r="J12" s="46" t="s">
        <v>10</v>
      </c>
      <c r="L12" s="51" t="s">
        <v>13</v>
      </c>
      <c r="M12" s="52" t="s">
        <v>14</v>
      </c>
      <c r="N12" s="53" t="s">
        <v>15</v>
      </c>
      <c r="O12" s="54" t="s">
        <v>10</v>
      </c>
      <c r="P12" s="13"/>
      <c r="Q12" s="51" t="s">
        <v>13</v>
      </c>
      <c r="R12" s="52" t="s">
        <v>14</v>
      </c>
      <c r="S12" s="53" t="s">
        <v>15</v>
      </c>
      <c r="T12" s="54" t="s">
        <v>10</v>
      </c>
    </row>
    <row r="13" spans="1:20" ht="16.5" customHeight="1">
      <c r="A13" s="181">
        <v>1</v>
      </c>
      <c r="B13" s="234"/>
      <c r="C13" s="181" t="s">
        <v>110</v>
      </c>
      <c r="D13" s="206" t="s">
        <v>111</v>
      </c>
      <c r="E13" s="185" t="s">
        <v>34</v>
      </c>
      <c r="F13" s="124">
        <f aca="true" t="shared" si="0" ref="F13:F28">SUM(N13)</f>
        <v>498</v>
      </c>
      <c r="G13" s="124">
        <f aca="true" t="shared" si="1" ref="G13:G28">SUM(S13)</f>
        <v>443</v>
      </c>
      <c r="H13" s="125">
        <f aca="true" t="shared" si="2" ref="H13:H28">SUM(F13:G13)</f>
        <v>941</v>
      </c>
      <c r="I13" s="124">
        <f aca="true" t="shared" si="3" ref="I13:I28">SUM(M13+R13)</f>
        <v>333</v>
      </c>
      <c r="J13" s="124">
        <f aca="true" t="shared" si="4" ref="J13:J28">SUM(O13+T13)</f>
        <v>5</v>
      </c>
      <c r="K13" s="224"/>
      <c r="L13" s="222">
        <v>325</v>
      </c>
      <c r="M13" s="222">
        <v>173</v>
      </c>
      <c r="N13" s="181">
        <f aca="true" t="shared" si="5" ref="N13:N28">SUM(L13:M13)</f>
        <v>498</v>
      </c>
      <c r="O13" s="222">
        <v>0</v>
      </c>
      <c r="P13" s="225"/>
      <c r="Q13" s="222">
        <v>283</v>
      </c>
      <c r="R13" s="222">
        <v>160</v>
      </c>
      <c r="S13" s="181">
        <f aca="true" t="shared" si="6" ref="S13:S28">SUM(Q13:R13)</f>
        <v>443</v>
      </c>
      <c r="T13" s="222">
        <v>5</v>
      </c>
    </row>
    <row r="14" spans="1:20" ht="18" customHeight="1">
      <c r="A14" s="181">
        <v>2</v>
      </c>
      <c r="B14" s="234"/>
      <c r="C14" s="181" t="s">
        <v>334</v>
      </c>
      <c r="D14" s="123" t="s">
        <v>335</v>
      </c>
      <c r="E14" s="185" t="s">
        <v>91</v>
      </c>
      <c r="F14" s="124">
        <f t="shared" si="0"/>
        <v>453</v>
      </c>
      <c r="G14" s="124">
        <f t="shared" si="1"/>
        <v>425</v>
      </c>
      <c r="H14" s="125">
        <f t="shared" si="2"/>
        <v>878</v>
      </c>
      <c r="I14" s="124">
        <f t="shared" si="3"/>
        <v>262</v>
      </c>
      <c r="J14" s="124">
        <f t="shared" si="4"/>
        <v>8</v>
      </c>
      <c r="K14" s="224"/>
      <c r="L14" s="222">
        <v>315</v>
      </c>
      <c r="M14" s="222">
        <v>138</v>
      </c>
      <c r="N14" s="181">
        <f t="shared" si="5"/>
        <v>453</v>
      </c>
      <c r="O14" s="222">
        <v>2</v>
      </c>
      <c r="P14" s="225"/>
      <c r="Q14" s="222">
        <v>301</v>
      </c>
      <c r="R14" s="222">
        <v>124</v>
      </c>
      <c r="S14" s="181">
        <f t="shared" si="6"/>
        <v>425</v>
      </c>
      <c r="T14" s="222">
        <v>6</v>
      </c>
    </row>
    <row r="15" spans="1:20" ht="18" customHeight="1">
      <c r="A15" s="181">
        <v>3</v>
      </c>
      <c r="B15" s="253"/>
      <c r="C15" s="181" t="s">
        <v>167</v>
      </c>
      <c r="D15" s="206" t="s">
        <v>108</v>
      </c>
      <c r="E15" s="185" t="s">
        <v>79</v>
      </c>
      <c r="F15" s="124">
        <f t="shared" si="0"/>
        <v>433</v>
      </c>
      <c r="G15" s="124">
        <f t="shared" si="1"/>
        <v>435</v>
      </c>
      <c r="H15" s="125">
        <f t="shared" si="2"/>
        <v>868</v>
      </c>
      <c r="I15" s="124">
        <f t="shared" si="3"/>
        <v>298</v>
      </c>
      <c r="J15" s="124">
        <f t="shared" si="4"/>
        <v>4</v>
      </c>
      <c r="K15" s="224"/>
      <c r="L15" s="222">
        <v>282</v>
      </c>
      <c r="M15" s="222">
        <v>151</v>
      </c>
      <c r="N15" s="181">
        <f t="shared" si="5"/>
        <v>433</v>
      </c>
      <c r="O15" s="222">
        <v>2</v>
      </c>
      <c r="P15" s="225"/>
      <c r="Q15" s="222">
        <v>288</v>
      </c>
      <c r="R15" s="222">
        <v>147</v>
      </c>
      <c r="S15" s="181">
        <f t="shared" si="6"/>
        <v>435</v>
      </c>
      <c r="T15" s="222">
        <v>2</v>
      </c>
    </row>
    <row r="16" spans="1:20" ht="17.25" customHeight="1">
      <c r="A16" s="119">
        <v>4</v>
      </c>
      <c r="B16" s="243"/>
      <c r="C16" s="119" t="s">
        <v>165</v>
      </c>
      <c r="D16" s="33" t="s">
        <v>166</v>
      </c>
      <c r="E16" s="246" t="s">
        <v>36</v>
      </c>
      <c r="F16" s="14">
        <f t="shared" si="0"/>
        <v>437</v>
      </c>
      <c r="G16" s="14">
        <f t="shared" si="1"/>
        <v>425</v>
      </c>
      <c r="H16" s="15">
        <f t="shared" si="2"/>
        <v>862</v>
      </c>
      <c r="I16" s="14">
        <f t="shared" si="3"/>
        <v>277</v>
      </c>
      <c r="J16" s="14">
        <f t="shared" si="4"/>
        <v>6</v>
      </c>
      <c r="K16" s="257"/>
      <c r="L16" s="34">
        <v>291</v>
      </c>
      <c r="M16" s="34">
        <v>146</v>
      </c>
      <c r="N16" s="119">
        <f t="shared" si="5"/>
        <v>437</v>
      </c>
      <c r="O16" s="34">
        <v>1</v>
      </c>
      <c r="P16" s="20"/>
      <c r="Q16" s="34">
        <v>294</v>
      </c>
      <c r="R16" s="34">
        <v>131</v>
      </c>
      <c r="S16" s="119">
        <f t="shared" si="6"/>
        <v>425</v>
      </c>
      <c r="T16" s="34">
        <v>5</v>
      </c>
    </row>
    <row r="17" spans="1:20" ht="18" customHeight="1">
      <c r="A17" s="119">
        <v>5</v>
      </c>
      <c r="B17" s="242"/>
      <c r="C17" s="119" t="s">
        <v>314</v>
      </c>
      <c r="D17" s="33" t="s">
        <v>315</v>
      </c>
      <c r="E17" s="246" t="s">
        <v>37</v>
      </c>
      <c r="F17" s="14">
        <f t="shared" si="0"/>
        <v>418</v>
      </c>
      <c r="G17" s="14">
        <f t="shared" si="1"/>
        <v>412</v>
      </c>
      <c r="H17" s="15">
        <f t="shared" si="2"/>
        <v>830</v>
      </c>
      <c r="I17" s="14">
        <f t="shared" si="3"/>
        <v>226</v>
      </c>
      <c r="J17" s="14">
        <f t="shared" si="4"/>
        <v>18</v>
      </c>
      <c r="K17" s="257"/>
      <c r="L17" s="34">
        <v>296</v>
      </c>
      <c r="M17" s="34">
        <v>122</v>
      </c>
      <c r="N17" s="119">
        <f t="shared" si="5"/>
        <v>418</v>
      </c>
      <c r="O17" s="34">
        <v>9</v>
      </c>
      <c r="P17" s="20"/>
      <c r="Q17" s="34">
        <v>308</v>
      </c>
      <c r="R17" s="34">
        <v>104</v>
      </c>
      <c r="S17" s="119">
        <f t="shared" si="6"/>
        <v>412</v>
      </c>
      <c r="T17" s="34">
        <v>9</v>
      </c>
    </row>
    <row r="18" spans="1:20" ht="18" customHeight="1">
      <c r="A18" s="226">
        <v>6</v>
      </c>
      <c r="B18" s="254"/>
      <c r="C18" s="255" t="s">
        <v>262</v>
      </c>
      <c r="D18" s="228" t="s">
        <v>263</v>
      </c>
      <c r="E18" s="229" t="s">
        <v>153</v>
      </c>
      <c r="F18" s="230">
        <f t="shared" si="0"/>
        <v>434</v>
      </c>
      <c r="G18" s="230">
        <f t="shared" si="1"/>
        <v>387</v>
      </c>
      <c r="H18" s="231">
        <f t="shared" si="2"/>
        <v>821</v>
      </c>
      <c r="I18" s="230">
        <f t="shared" si="3"/>
        <v>257</v>
      </c>
      <c r="J18" s="230">
        <f t="shared" si="4"/>
        <v>16</v>
      </c>
      <c r="K18" s="224"/>
      <c r="L18" s="226">
        <v>292</v>
      </c>
      <c r="M18" s="226">
        <v>142</v>
      </c>
      <c r="N18" s="232">
        <f t="shared" si="5"/>
        <v>434</v>
      </c>
      <c r="O18" s="226">
        <v>5</v>
      </c>
      <c r="P18" s="225"/>
      <c r="Q18" s="226">
        <v>272</v>
      </c>
      <c r="R18" s="226">
        <v>115</v>
      </c>
      <c r="S18" s="232">
        <f t="shared" si="6"/>
        <v>387</v>
      </c>
      <c r="T18" s="226">
        <v>11</v>
      </c>
    </row>
    <row r="19" spans="1:20" ht="20.25" customHeight="1">
      <c r="A19" s="226">
        <v>7</v>
      </c>
      <c r="B19" s="236"/>
      <c r="C19" s="226" t="s">
        <v>312</v>
      </c>
      <c r="D19" s="228" t="s">
        <v>313</v>
      </c>
      <c r="E19" s="229" t="s">
        <v>38</v>
      </c>
      <c r="F19" s="230">
        <f t="shared" si="0"/>
        <v>431</v>
      </c>
      <c r="G19" s="230">
        <f t="shared" si="1"/>
        <v>379</v>
      </c>
      <c r="H19" s="231">
        <f t="shared" si="2"/>
        <v>810</v>
      </c>
      <c r="I19" s="230">
        <f t="shared" si="3"/>
        <v>249</v>
      </c>
      <c r="J19" s="230">
        <f t="shared" si="4"/>
        <v>16</v>
      </c>
      <c r="K19" s="224"/>
      <c r="L19" s="226">
        <v>297</v>
      </c>
      <c r="M19" s="226">
        <v>134</v>
      </c>
      <c r="N19" s="232">
        <f t="shared" si="5"/>
        <v>431</v>
      </c>
      <c r="O19" s="226">
        <v>7</v>
      </c>
      <c r="P19" s="225"/>
      <c r="Q19" s="226">
        <v>264</v>
      </c>
      <c r="R19" s="226">
        <v>115</v>
      </c>
      <c r="S19" s="232">
        <f t="shared" si="6"/>
        <v>379</v>
      </c>
      <c r="T19" s="226">
        <v>9</v>
      </c>
    </row>
    <row r="20" spans="1:20" ht="18" customHeight="1">
      <c r="A20" s="226">
        <v>8</v>
      </c>
      <c r="B20" s="236"/>
      <c r="C20" s="226" t="s">
        <v>316</v>
      </c>
      <c r="D20" s="228" t="s">
        <v>305</v>
      </c>
      <c r="E20" s="229" t="s">
        <v>19</v>
      </c>
      <c r="F20" s="230">
        <f t="shared" si="0"/>
        <v>422</v>
      </c>
      <c r="G20" s="230">
        <f t="shared" si="1"/>
        <v>388</v>
      </c>
      <c r="H20" s="231">
        <f t="shared" si="2"/>
        <v>810</v>
      </c>
      <c r="I20" s="230">
        <f t="shared" si="3"/>
        <v>247</v>
      </c>
      <c r="J20" s="230">
        <f t="shared" si="4"/>
        <v>18</v>
      </c>
      <c r="K20" s="224"/>
      <c r="L20" s="226">
        <v>282</v>
      </c>
      <c r="M20" s="226">
        <v>140</v>
      </c>
      <c r="N20" s="232">
        <f t="shared" si="5"/>
        <v>422</v>
      </c>
      <c r="O20" s="226">
        <v>7</v>
      </c>
      <c r="P20" s="225"/>
      <c r="Q20" s="226">
        <v>281</v>
      </c>
      <c r="R20" s="226">
        <v>107</v>
      </c>
      <c r="S20" s="232">
        <f t="shared" si="6"/>
        <v>388</v>
      </c>
      <c r="T20" s="226">
        <v>11</v>
      </c>
    </row>
    <row r="21" spans="1:20" ht="18" customHeight="1">
      <c r="A21" s="226">
        <v>9</v>
      </c>
      <c r="B21" s="236"/>
      <c r="C21" s="226" t="s">
        <v>303</v>
      </c>
      <c r="D21" s="228" t="s">
        <v>304</v>
      </c>
      <c r="E21" s="229" t="s">
        <v>17</v>
      </c>
      <c r="F21" s="230">
        <f t="shared" si="0"/>
        <v>420</v>
      </c>
      <c r="G21" s="230">
        <f t="shared" si="1"/>
        <v>378</v>
      </c>
      <c r="H21" s="231">
        <f t="shared" si="2"/>
        <v>798</v>
      </c>
      <c r="I21" s="230">
        <f t="shared" si="3"/>
        <v>246</v>
      </c>
      <c r="J21" s="230">
        <f t="shared" si="4"/>
        <v>19</v>
      </c>
      <c r="K21" s="224"/>
      <c r="L21" s="226">
        <v>287</v>
      </c>
      <c r="M21" s="226">
        <v>133</v>
      </c>
      <c r="N21" s="232">
        <f t="shared" si="5"/>
        <v>420</v>
      </c>
      <c r="O21" s="226">
        <v>11</v>
      </c>
      <c r="P21" s="225"/>
      <c r="Q21" s="226">
        <v>265</v>
      </c>
      <c r="R21" s="226">
        <v>113</v>
      </c>
      <c r="S21" s="232">
        <f t="shared" si="6"/>
        <v>378</v>
      </c>
      <c r="T21" s="226">
        <v>8</v>
      </c>
    </row>
    <row r="22" spans="1:20" ht="18" customHeight="1">
      <c r="A22" s="226">
        <v>10</v>
      </c>
      <c r="B22" s="236"/>
      <c r="C22" s="226" t="s">
        <v>268</v>
      </c>
      <c r="D22" s="228" t="s">
        <v>269</v>
      </c>
      <c r="E22" s="229" t="s">
        <v>75</v>
      </c>
      <c r="F22" s="230">
        <f t="shared" si="0"/>
        <v>434</v>
      </c>
      <c r="G22" s="230">
        <f t="shared" si="1"/>
        <v>355</v>
      </c>
      <c r="H22" s="231">
        <f t="shared" si="2"/>
        <v>789</v>
      </c>
      <c r="I22" s="230">
        <f t="shared" si="3"/>
        <v>215</v>
      </c>
      <c r="J22" s="230">
        <f t="shared" si="4"/>
        <v>23</v>
      </c>
      <c r="K22" s="224"/>
      <c r="L22" s="226">
        <v>297</v>
      </c>
      <c r="M22" s="226">
        <v>137</v>
      </c>
      <c r="N22" s="232">
        <f t="shared" si="5"/>
        <v>434</v>
      </c>
      <c r="O22" s="226">
        <v>7</v>
      </c>
      <c r="P22" s="225"/>
      <c r="Q22" s="226">
        <v>277</v>
      </c>
      <c r="R22" s="226">
        <v>78</v>
      </c>
      <c r="S22" s="232">
        <f t="shared" si="6"/>
        <v>355</v>
      </c>
      <c r="T22" s="226">
        <v>16</v>
      </c>
    </row>
    <row r="23" spans="1:20" ht="18" customHeight="1">
      <c r="A23" s="226">
        <v>11</v>
      </c>
      <c r="B23" s="227"/>
      <c r="C23" s="226" t="s">
        <v>112</v>
      </c>
      <c r="D23" s="237" t="s">
        <v>113</v>
      </c>
      <c r="E23" s="229" t="s">
        <v>35</v>
      </c>
      <c r="F23" s="230">
        <f t="shared" si="0"/>
        <v>412</v>
      </c>
      <c r="G23" s="230">
        <f t="shared" si="1"/>
        <v>374</v>
      </c>
      <c r="H23" s="231">
        <f t="shared" si="2"/>
        <v>786</v>
      </c>
      <c r="I23" s="230">
        <f t="shared" si="3"/>
        <v>247</v>
      </c>
      <c r="J23" s="230">
        <f t="shared" si="4"/>
        <v>14</v>
      </c>
      <c r="K23" s="224"/>
      <c r="L23" s="226">
        <v>280</v>
      </c>
      <c r="M23" s="226">
        <v>132</v>
      </c>
      <c r="N23" s="232">
        <f t="shared" si="5"/>
        <v>412</v>
      </c>
      <c r="O23" s="226">
        <v>5</v>
      </c>
      <c r="P23" s="225"/>
      <c r="Q23" s="226">
        <v>259</v>
      </c>
      <c r="R23" s="226">
        <v>115</v>
      </c>
      <c r="S23" s="232">
        <f t="shared" si="6"/>
        <v>374</v>
      </c>
      <c r="T23" s="226">
        <v>9</v>
      </c>
    </row>
    <row r="24" spans="1:20" ht="18" customHeight="1">
      <c r="A24" s="226">
        <v>12</v>
      </c>
      <c r="B24" s="236"/>
      <c r="C24" s="226" t="s">
        <v>362</v>
      </c>
      <c r="D24" s="237" t="s">
        <v>363</v>
      </c>
      <c r="E24" s="229" t="s">
        <v>73</v>
      </c>
      <c r="F24" s="230">
        <f t="shared" si="0"/>
        <v>397</v>
      </c>
      <c r="G24" s="230">
        <f t="shared" si="1"/>
        <v>383</v>
      </c>
      <c r="H24" s="231">
        <f t="shared" si="2"/>
        <v>780</v>
      </c>
      <c r="I24" s="230">
        <f t="shared" si="3"/>
        <v>247</v>
      </c>
      <c r="J24" s="230">
        <f t="shared" si="4"/>
        <v>18</v>
      </c>
      <c r="K24" s="224"/>
      <c r="L24" s="226">
        <v>263</v>
      </c>
      <c r="M24" s="226">
        <v>134</v>
      </c>
      <c r="N24" s="232">
        <f t="shared" si="5"/>
        <v>397</v>
      </c>
      <c r="O24" s="226">
        <v>7</v>
      </c>
      <c r="P24" s="225"/>
      <c r="Q24" s="226">
        <v>270</v>
      </c>
      <c r="R24" s="226">
        <v>113</v>
      </c>
      <c r="S24" s="232">
        <f t="shared" si="6"/>
        <v>383</v>
      </c>
      <c r="T24" s="226">
        <v>11</v>
      </c>
    </row>
    <row r="25" spans="1:20" ht="18" customHeight="1">
      <c r="A25" s="34">
        <v>13</v>
      </c>
      <c r="B25" s="244"/>
      <c r="C25" s="34" t="s">
        <v>364</v>
      </c>
      <c r="D25" s="121" t="s">
        <v>264</v>
      </c>
      <c r="E25" s="69" t="s">
        <v>154</v>
      </c>
      <c r="F25" s="14">
        <f t="shared" si="0"/>
        <v>393</v>
      </c>
      <c r="G25" s="14">
        <f t="shared" si="1"/>
        <v>0</v>
      </c>
      <c r="H25" s="15">
        <f t="shared" si="2"/>
        <v>393</v>
      </c>
      <c r="I25" s="14">
        <f t="shared" si="3"/>
        <v>120</v>
      </c>
      <c r="J25" s="14">
        <f t="shared" si="4"/>
        <v>9</v>
      </c>
      <c r="K25" s="224"/>
      <c r="L25" s="84">
        <v>273</v>
      </c>
      <c r="M25" s="84">
        <v>120</v>
      </c>
      <c r="N25" s="241">
        <f t="shared" si="5"/>
        <v>393</v>
      </c>
      <c r="O25" s="84">
        <v>9</v>
      </c>
      <c r="P25" s="225"/>
      <c r="Q25" s="84"/>
      <c r="R25" s="84"/>
      <c r="S25" s="241">
        <f t="shared" si="6"/>
        <v>0</v>
      </c>
      <c r="T25" s="84"/>
    </row>
    <row r="26" spans="1:20" ht="18" customHeight="1">
      <c r="A26" s="34">
        <v>14</v>
      </c>
      <c r="B26" s="256"/>
      <c r="C26" s="34" t="s">
        <v>270</v>
      </c>
      <c r="D26" s="94" t="s">
        <v>271</v>
      </c>
      <c r="E26" s="69" t="s">
        <v>74</v>
      </c>
      <c r="F26" s="14">
        <f t="shared" si="0"/>
        <v>387</v>
      </c>
      <c r="G26" s="14">
        <f t="shared" si="1"/>
        <v>0</v>
      </c>
      <c r="H26" s="15">
        <f t="shared" si="2"/>
        <v>387</v>
      </c>
      <c r="I26" s="14">
        <f t="shared" si="3"/>
        <v>106</v>
      </c>
      <c r="J26" s="14">
        <f t="shared" si="4"/>
        <v>11</v>
      </c>
      <c r="K26" s="224"/>
      <c r="L26" s="84">
        <v>281</v>
      </c>
      <c r="M26" s="84">
        <v>106</v>
      </c>
      <c r="N26" s="241">
        <f t="shared" si="5"/>
        <v>387</v>
      </c>
      <c r="O26" s="84">
        <v>11</v>
      </c>
      <c r="P26" s="225"/>
      <c r="Q26" s="84"/>
      <c r="R26" s="84"/>
      <c r="S26" s="241">
        <f t="shared" si="6"/>
        <v>0</v>
      </c>
      <c r="T26" s="84"/>
    </row>
    <row r="27" spans="1:20" ht="18" customHeight="1">
      <c r="A27" s="34">
        <v>15</v>
      </c>
      <c r="B27" s="244"/>
      <c r="C27" s="34" t="s">
        <v>180</v>
      </c>
      <c r="D27" s="65" t="s">
        <v>109</v>
      </c>
      <c r="E27" s="69" t="s">
        <v>78</v>
      </c>
      <c r="F27" s="14">
        <f t="shared" si="0"/>
        <v>386</v>
      </c>
      <c r="G27" s="14">
        <f t="shared" si="1"/>
        <v>0</v>
      </c>
      <c r="H27" s="15">
        <f t="shared" si="2"/>
        <v>386</v>
      </c>
      <c r="I27" s="14">
        <f t="shared" si="3"/>
        <v>123</v>
      </c>
      <c r="J27" s="14">
        <f t="shared" si="4"/>
        <v>6</v>
      </c>
      <c r="K27" s="224"/>
      <c r="L27" s="84">
        <v>263</v>
      </c>
      <c r="M27" s="84">
        <v>123</v>
      </c>
      <c r="N27" s="241">
        <f t="shared" si="5"/>
        <v>386</v>
      </c>
      <c r="O27" s="84">
        <v>6</v>
      </c>
      <c r="P27" s="225"/>
      <c r="Q27" s="84"/>
      <c r="R27" s="84"/>
      <c r="S27" s="241">
        <f t="shared" si="6"/>
        <v>0</v>
      </c>
      <c r="T27" s="84"/>
    </row>
    <row r="28" spans="1:20" ht="18" customHeight="1">
      <c r="A28" s="34">
        <v>16</v>
      </c>
      <c r="B28" s="243"/>
      <c r="C28" s="84" t="s">
        <v>261</v>
      </c>
      <c r="D28" s="33" t="s">
        <v>265</v>
      </c>
      <c r="E28" s="69" t="s">
        <v>31</v>
      </c>
      <c r="F28" s="14">
        <f t="shared" si="0"/>
        <v>384</v>
      </c>
      <c r="G28" s="14">
        <f t="shared" si="1"/>
        <v>0</v>
      </c>
      <c r="H28" s="15">
        <f t="shared" si="2"/>
        <v>384</v>
      </c>
      <c r="I28" s="14">
        <f t="shared" si="3"/>
        <v>102</v>
      </c>
      <c r="J28" s="14">
        <f t="shared" si="4"/>
        <v>13</v>
      </c>
      <c r="K28" s="224"/>
      <c r="L28" s="84">
        <v>282</v>
      </c>
      <c r="M28" s="84">
        <v>102</v>
      </c>
      <c r="N28" s="241">
        <f t="shared" si="5"/>
        <v>384</v>
      </c>
      <c r="O28" s="84">
        <v>13</v>
      </c>
      <c r="P28" s="225"/>
      <c r="Q28" s="84"/>
      <c r="R28" s="84"/>
      <c r="S28" s="241">
        <f t="shared" si="6"/>
        <v>0</v>
      </c>
      <c r="T28" s="84"/>
    </row>
    <row r="29" spans="1:20" ht="18" customHeight="1">
      <c r="A29" s="34">
        <v>17</v>
      </c>
      <c r="B29" s="256"/>
      <c r="C29" s="34" t="s">
        <v>365</v>
      </c>
      <c r="D29" s="33" t="s">
        <v>366</v>
      </c>
      <c r="E29" s="69" t="s">
        <v>80</v>
      </c>
      <c r="F29" s="14">
        <f>SUM(N29)</f>
        <v>378</v>
      </c>
      <c r="G29" s="14">
        <f>SUM(S29)</f>
        <v>0</v>
      </c>
      <c r="H29" s="15">
        <f>SUM(F29:G29)</f>
        <v>378</v>
      </c>
      <c r="I29" s="14">
        <f>SUM(M29+R29)</f>
        <v>104</v>
      </c>
      <c r="J29" s="14">
        <f>SUM(O29+T29)</f>
        <v>11</v>
      </c>
      <c r="K29" s="224"/>
      <c r="L29" s="84">
        <v>274</v>
      </c>
      <c r="M29" s="84">
        <v>104</v>
      </c>
      <c r="N29" s="241">
        <f>SUM(L29:M29)</f>
        <v>378</v>
      </c>
      <c r="O29" s="84">
        <v>11</v>
      </c>
      <c r="P29" s="225"/>
      <c r="Q29" s="84"/>
      <c r="R29" s="84"/>
      <c r="S29" s="241">
        <f>SUM(Q29:R29)</f>
        <v>0</v>
      </c>
      <c r="T29" s="84"/>
    </row>
    <row r="30" spans="1:20" ht="18" customHeight="1">
      <c r="A30" s="34"/>
      <c r="B30" s="256"/>
      <c r="C30" s="34" t="s">
        <v>164</v>
      </c>
      <c r="D30" s="33"/>
      <c r="E30" s="69" t="s">
        <v>90</v>
      </c>
      <c r="F30" s="14">
        <f>SUM(N30)</f>
        <v>0</v>
      </c>
      <c r="G30" s="14">
        <f>SUM(S30)</f>
        <v>0</v>
      </c>
      <c r="H30" s="15">
        <f>SUM(F30:G30)</f>
        <v>0</v>
      </c>
      <c r="I30" s="14">
        <f>SUM(M30+R30)</f>
        <v>0</v>
      </c>
      <c r="J30" s="14">
        <f>SUM(O30+T30)</f>
        <v>0</v>
      </c>
      <c r="K30" s="224"/>
      <c r="L30" s="84"/>
      <c r="M30" s="84"/>
      <c r="N30" s="241">
        <f>SUM(L30:M30)</f>
        <v>0</v>
      </c>
      <c r="O30" s="84"/>
      <c r="P30" s="225"/>
      <c r="Q30" s="84"/>
      <c r="R30" s="84"/>
      <c r="S30" s="241">
        <f>SUM(Q30:R30)</f>
        <v>0</v>
      </c>
      <c r="T30" s="84"/>
    </row>
    <row r="31" spans="1:20" ht="13.5" customHeight="1">
      <c r="A31" s="12"/>
      <c r="B31" s="82"/>
      <c r="C31" s="5"/>
      <c r="D31" s="28"/>
      <c r="E31" s="10"/>
      <c r="F31" s="37"/>
      <c r="G31" s="37"/>
      <c r="H31" s="29"/>
      <c r="I31" s="37"/>
      <c r="J31" s="37"/>
      <c r="L31" s="12"/>
      <c r="M31" s="12"/>
      <c r="N31" s="30"/>
      <c r="O31" s="12"/>
      <c r="P31" s="20"/>
      <c r="Q31" s="12"/>
      <c r="R31" s="12"/>
      <c r="S31" s="30"/>
      <c r="T31" s="12"/>
    </row>
    <row r="32" spans="1:20" ht="13.5" customHeight="1">
      <c r="A32" t="s">
        <v>151</v>
      </c>
      <c r="B32" s="79"/>
      <c r="F32" s="37"/>
      <c r="G32" s="37"/>
      <c r="H32" s="29"/>
      <c r="I32" s="37"/>
      <c r="J32" s="37"/>
      <c r="L32" s="12"/>
      <c r="M32" s="12"/>
      <c r="N32" s="30"/>
      <c r="O32" s="12"/>
      <c r="P32" s="20"/>
      <c r="Q32" s="12"/>
      <c r="R32" s="12"/>
      <c r="S32" s="30"/>
      <c r="T32" s="12"/>
    </row>
    <row r="33" spans="4:5" ht="13.5" customHeight="1">
      <c r="D33" s="6"/>
      <c r="E33" s="7"/>
    </row>
    <row r="34" spans="1:5" ht="13.5" customHeight="1">
      <c r="A34" s="8" t="s">
        <v>152</v>
      </c>
      <c r="D34" s="6"/>
      <c r="E34" s="7"/>
    </row>
    <row r="35" ht="12.75">
      <c r="A35" s="9" t="s">
        <v>146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SKV  Röttenbach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Watzer</dc:creator>
  <cp:keywords/>
  <dc:description/>
  <cp:lastModifiedBy>Roland</cp:lastModifiedBy>
  <cp:lastPrinted>2013-03-04T18:16:11Z</cp:lastPrinted>
  <dcterms:created xsi:type="dcterms:W3CDTF">1997-12-23T23:20:21Z</dcterms:created>
  <dcterms:modified xsi:type="dcterms:W3CDTF">2016-02-18T00:05:20Z</dcterms:modified>
  <cp:category/>
  <cp:version/>
  <cp:contentType/>
  <cp:contentStatus/>
</cp:coreProperties>
</file>